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9320" windowHeight="9975"/>
  </bookViews>
  <sheets>
    <sheet name="listopad autopopr" sheetId="3" r:id="rId1"/>
  </sheets>
  <definedNames>
    <definedName name="_xlnm.Print_Area" localSheetId="0">'listopad autopopr'!$A$1:$W$563</definedName>
    <definedName name="_xlnm.Print_Titles" localSheetId="0">'listopad autopopr'!$2:$3</definedName>
  </definedNames>
  <calcPr calcId="125725"/>
</workbook>
</file>

<file path=xl/calcChain.xml><?xml version="1.0" encoding="utf-8"?>
<calcChain xmlns="http://schemas.openxmlformats.org/spreadsheetml/2006/main">
  <c r="W127" i="3"/>
  <c r="W115"/>
  <c r="W92"/>
  <c r="K94"/>
  <c r="I567"/>
  <c r="J567"/>
  <c r="K567"/>
  <c r="L567"/>
  <c r="M567"/>
  <c r="N567"/>
  <c r="O567"/>
  <c r="P567"/>
  <c r="Q567"/>
  <c r="R567"/>
  <c r="S567"/>
  <c r="T567"/>
  <c r="U567"/>
  <c r="V567"/>
  <c r="W567"/>
  <c r="H567"/>
  <c r="I569" l="1"/>
  <c r="J569"/>
  <c r="M569"/>
  <c r="N569"/>
  <c r="O569"/>
  <c r="P569"/>
  <c r="Q569"/>
  <c r="R569"/>
  <c r="S569"/>
  <c r="T569"/>
  <c r="U569"/>
  <c r="V569"/>
  <c r="W569"/>
  <c r="I561"/>
  <c r="J561"/>
  <c r="K561"/>
  <c r="L561"/>
  <c r="M561"/>
  <c r="N561"/>
  <c r="O561"/>
  <c r="P561"/>
  <c r="Q561"/>
  <c r="R561"/>
  <c r="S561"/>
  <c r="T561"/>
  <c r="U561"/>
  <c r="V561"/>
  <c r="H561"/>
  <c r="W261"/>
  <c r="I263"/>
  <c r="J263"/>
  <c r="K263"/>
  <c r="L263"/>
  <c r="M263"/>
  <c r="N263"/>
  <c r="O263"/>
  <c r="P263"/>
  <c r="Q263"/>
  <c r="R263"/>
  <c r="S263"/>
  <c r="T263"/>
  <c r="U263"/>
  <c r="V263"/>
  <c r="H263"/>
  <c r="I555"/>
  <c r="J555"/>
  <c r="K555"/>
  <c r="L555"/>
  <c r="M555"/>
  <c r="N555"/>
  <c r="O555"/>
  <c r="P555"/>
  <c r="Q555"/>
  <c r="R555"/>
  <c r="S555"/>
  <c r="T555"/>
  <c r="U555"/>
  <c r="V555"/>
  <c r="I556"/>
  <c r="M556"/>
  <c r="N556"/>
  <c r="O556"/>
  <c r="P556"/>
  <c r="Q556"/>
  <c r="R556"/>
  <c r="S556"/>
  <c r="T556"/>
  <c r="U556"/>
  <c r="V556"/>
  <c r="I557"/>
  <c r="J557"/>
  <c r="M557"/>
  <c r="N557"/>
  <c r="O557"/>
  <c r="P557"/>
  <c r="Q557"/>
  <c r="R557"/>
  <c r="S557"/>
  <c r="T557"/>
  <c r="U557"/>
  <c r="V557"/>
  <c r="I558"/>
  <c r="J558"/>
  <c r="K558"/>
  <c r="L558"/>
  <c r="M558"/>
  <c r="N558"/>
  <c r="O558"/>
  <c r="P558"/>
  <c r="Q558"/>
  <c r="R558"/>
  <c r="S558"/>
  <c r="T558"/>
  <c r="U558"/>
  <c r="V558"/>
  <c r="I560"/>
  <c r="J560"/>
  <c r="K560"/>
  <c r="L560"/>
  <c r="M560"/>
  <c r="N560"/>
  <c r="O560"/>
  <c r="P560"/>
  <c r="Q560"/>
  <c r="R560"/>
  <c r="S560"/>
  <c r="T560"/>
  <c r="U560"/>
  <c r="V560"/>
  <c r="J562"/>
  <c r="K562"/>
  <c r="M562"/>
  <c r="N562"/>
  <c r="O562"/>
  <c r="P562"/>
  <c r="Q562"/>
  <c r="R562"/>
  <c r="S562"/>
  <c r="T562"/>
  <c r="U562"/>
  <c r="V562"/>
  <c r="I563"/>
  <c r="J563"/>
  <c r="K563"/>
  <c r="L563"/>
  <c r="M563"/>
  <c r="N563"/>
  <c r="O563"/>
  <c r="P563"/>
  <c r="Q563"/>
  <c r="R563"/>
  <c r="S563"/>
  <c r="T563"/>
  <c r="U563"/>
  <c r="V563"/>
  <c r="H563"/>
  <c r="R10"/>
  <c r="S10"/>
  <c r="T10"/>
  <c r="U10"/>
  <c r="V10"/>
  <c r="R11"/>
  <c r="S11"/>
  <c r="T11"/>
  <c r="U11"/>
  <c r="V11"/>
  <c r="W520"/>
  <c r="K443"/>
  <c r="K445"/>
  <c r="I419"/>
  <c r="J419"/>
  <c r="W392"/>
  <c r="W324"/>
  <c r="W319"/>
  <c r="V559" l="1"/>
  <c r="T559"/>
  <c r="R559"/>
  <c r="P559"/>
  <c r="N559"/>
  <c r="V553"/>
  <c r="T553"/>
  <c r="R553"/>
  <c r="P553"/>
  <c r="N553"/>
  <c r="L553"/>
  <c r="J553"/>
  <c r="V552"/>
  <c r="T552"/>
  <c r="R552"/>
  <c r="P552"/>
  <c r="N552"/>
  <c r="J552"/>
  <c r="V554"/>
  <c r="T554"/>
  <c r="R554"/>
  <c r="P554"/>
  <c r="N554"/>
  <c r="U559"/>
  <c r="S559"/>
  <c r="Q559"/>
  <c r="O559"/>
  <c r="M559"/>
  <c r="U553"/>
  <c r="S553"/>
  <c r="Q553"/>
  <c r="O553"/>
  <c r="M553"/>
  <c r="K553"/>
  <c r="I553"/>
  <c r="U552"/>
  <c r="S552"/>
  <c r="Q552"/>
  <c r="O552"/>
  <c r="M552"/>
  <c r="U554"/>
  <c r="S554"/>
  <c r="Q554"/>
  <c r="O554"/>
  <c r="M554"/>
  <c r="I554"/>
  <c r="U9"/>
  <c r="S9"/>
  <c r="U551"/>
  <c r="S551"/>
  <c r="Q551"/>
  <c r="O551"/>
  <c r="M551"/>
  <c r="U550"/>
  <c r="S550"/>
  <c r="Q550"/>
  <c r="O550"/>
  <c r="M550"/>
  <c r="K550"/>
  <c r="I550"/>
  <c r="V9"/>
  <c r="T9"/>
  <c r="R9"/>
  <c r="V551"/>
  <c r="T551"/>
  <c r="R551"/>
  <c r="P551"/>
  <c r="N551"/>
  <c r="V550"/>
  <c r="T550"/>
  <c r="R550"/>
  <c r="P550"/>
  <c r="N550"/>
  <c r="L550"/>
  <c r="J550"/>
  <c r="U549"/>
  <c r="S549"/>
  <c r="Q549"/>
  <c r="O549"/>
  <c r="M549"/>
  <c r="V549"/>
  <c r="T549"/>
  <c r="R549"/>
  <c r="P549"/>
  <c r="N549"/>
  <c r="J306" l="1"/>
  <c r="W246" l="1"/>
  <c r="J243"/>
  <c r="W230"/>
  <c r="W223"/>
  <c r="W182"/>
  <c r="W156" l="1"/>
  <c r="W143"/>
  <c r="I145"/>
  <c r="J145"/>
  <c r="K145"/>
  <c r="H145"/>
  <c r="W133"/>
  <c r="I602" l="1"/>
  <c r="J602"/>
  <c r="K602"/>
  <c r="L602"/>
  <c r="I604"/>
  <c r="M608"/>
  <c r="N608"/>
  <c r="O608"/>
  <c r="P608"/>
  <c r="Q608"/>
  <c r="R608"/>
  <c r="S608"/>
  <c r="T608"/>
  <c r="U608"/>
  <c r="V608"/>
  <c r="M609"/>
  <c r="N609"/>
  <c r="O609"/>
  <c r="P609"/>
  <c r="Q609"/>
  <c r="R609"/>
  <c r="S609"/>
  <c r="T609"/>
  <c r="U609"/>
  <c r="V609"/>
  <c r="I610"/>
  <c r="J610"/>
  <c r="K610"/>
  <c r="L610"/>
  <c r="M610"/>
  <c r="N610"/>
  <c r="O610"/>
  <c r="P610"/>
  <c r="Q610"/>
  <c r="R610"/>
  <c r="S610"/>
  <c r="T610"/>
  <c r="U610"/>
  <c r="V610"/>
  <c r="J339"/>
  <c r="J338" s="1"/>
  <c r="I339"/>
  <c r="H339"/>
  <c r="H338" s="1"/>
  <c r="I338"/>
  <c r="W285"/>
  <c r="W62"/>
  <c r="L34"/>
  <c r="L32" s="1"/>
  <c r="K34"/>
  <c r="K32" s="1"/>
  <c r="J34"/>
  <c r="J32" s="1"/>
  <c r="I34"/>
  <c r="H34"/>
  <c r="H32" s="1"/>
  <c r="I32"/>
  <c r="L29"/>
  <c r="L27" s="1"/>
  <c r="K29"/>
  <c r="J29"/>
  <c r="I29"/>
  <c r="I27" s="1"/>
  <c r="H29"/>
  <c r="H27" s="1"/>
  <c r="K27"/>
  <c r="J27"/>
  <c r="K24"/>
  <c r="K22" s="1"/>
  <c r="J24"/>
  <c r="J22" s="1"/>
  <c r="I24"/>
  <c r="H24"/>
  <c r="H22" s="1"/>
  <c r="I22"/>
  <c r="L19"/>
  <c r="K19"/>
  <c r="K17" s="1"/>
  <c r="J19"/>
  <c r="J17" s="1"/>
  <c r="I19"/>
  <c r="I17" s="1"/>
  <c r="H19"/>
  <c r="H17" s="1"/>
  <c r="H63"/>
  <c r="I63"/>
  <c r="J63"/>
  <c r="W57"/>
  <c r="K59"/>
  <c r="K57" s="1"/>
  <c r="L17" l="1"/>
  <c r="V607"/>
  <c r="V606" s="1"/>
  <c r="T607"/>
  <c r="T606" s="1"/>
  <c r="R607"/>
  <c r="R606" s="1"/>
  <c r="P607"/>
  <c r="P606" s="1"/>
  <c r="N607"/>
  <c r="N606" s="1"/>
  <c r="V605"/>
  <c r="V600" s="1"/>
  <c r="T605"/>
  <c r="T600" s="1"/>
  <c r="R605"/>
  <c r="R600" s="1"/>
  <c r="P605"/>
  <c r="P600" s="1"/>
  <c r="N605"/>
  <c r="N600" s="1"/>
  <c r="L605"/>
  <c r="L600" s="1"/>
  <c r="J605"/>
  <c r="J600" s="1"/>
  <c r="V604"/>
  <c r="V599" s="1"/>
  <c r="T604"/>
  <c r="T599" s="1"/>
  <c r="R604"/>
  <c r="R599" s="1"/>
  <c r="P604"/>
  <c r="P599" s="1"/>
  <c r="N604"/>
  <c r="N599" s="1"/>
  <c r="V603"/>
  <c r="V598" s="1"/>
  <c r="T603"/>
  <c r="T598" s="1"/>
  <c r="R603"/>
  <c r="R598" s="1"/>
  <c r="P603"/>
  <c r="P598" s="1"/>
  <c r="N603"/>
  <c r="N598" s="1"/>
  <c r="V602"/>
  <c r="T602"/>
  <c r="R602"/>
  <c r="P602"/>
  <c r="N602"/>
  <c r="U607"/>
  <c r="U606" s="1"/>
  <c r="S607"/>
  <c r="S606" s="1"/>
  <c r="Q607"/>
  <c r="Q606" s="1"/>
  <c r="O607"/>
  <c r="O606" s="1"/>
  <c r="M607"/>
  <c r="M606" s="1"/>
  <c r="U605"/>
  <c r="U600" s="1"/>
  <c r="S605"/>
  <c r="S600" s="1"/>
  <c r="Q605"/>
  <c r="Q600" s="1"/>
  <c r="O605"/>
  <c r="O600" s="1"/>
  <c r="M605"/>
  <c r="M600" s="1"/>
  <c r="K605"/>
  <c r="K600" s="1"/>
  <c r="I605"/>
  <c r="I600" s="1"/>
  <c r="U604"/>
  <c r="U599" s="1"/>
  <c r="S604"/>
  <c r="S599" s="1"/>
  <c r="Q604"/>
  <c r="Q599" s="1"/>
  <c r="O604"/>
  <c r="O599" s="1"/>
  <c r="M604"/>
  <c r="M599" s="1"/>
  <c r="U603"/>
  <c r="U598" s="1"/>
  <c r="S603"/>
  <c r="S598" s="1"/>
  <c r="O603"/>
  <c r="O598" s="1"/>
  <c r="M603"/>
  <c r="M598" s="1"/>
  <c r="U602"/>
  <c r="S602"/>
  <c r="Q602"/>
  <c r="O602"/>
  <c r="M602"/>
  <c r="Q603"/>
  <c r="L607"/>
  <c r="K607"/>
  <c r="J607"/>
  <c r="I607"/>
  <c r="W52"/>
  <c r="K54"/>
  <c r="K52" s="1"/>
  <c r="Q597" l="1"/>
  <c r="N597"/>
  <c r="N601"/>
  <c r="N596" s="1"/>
  <c r="P597"/>
  <c r="P601"/>
  <c r="P596" s="1"/>
  <c r="R597"/>
  <c r="R601"/>
  <c r="R596" s="1"/>
  <c r="T601"/>
  <c r="T596" s="1"/>
  <c r="T597"/>
  <c r="V597"/>
  <c r="V601"/>
  <c r="V596" s="1"/>
  <c r="M597"/>
  <c r="M601"/>
  <c r="M596" s="1"/>
  <c r="O597"/>
  <c r="O601"/>
  <c r="O596" s="1"/>
  <c r="S597"/>
  <c r="S601"/>
  <c r="S596" s="1"/>
  <c r="U597"/>
  <c r="U601"/>
  <c r="U596" s="1"/>
  <c r="Q601"/>
  <c r="Q596" s="1"/>
  <c r="Q598"/>
  <c r="L597"/>
  <c r="K597"/>
  <c r="J597"/>
  <c r="I597"/>
  <c r="K14"/>
  <c r="J14"/>
  <c r="I14"/>
  <c r="H14"/>
  <c r="H12" s="1"/>
  <c r="H558"/>
  <c r="H605" s="1"/>
  <c r="W313"/>
  <c r="W84"/>
  <c r="L87"/>
  <c r="L85"/>
  <c r="L84"/>
  <c r="W76"/>
  <c r="O334"/>
  <c r="O333" s="1"/>
  <c r="P334"/>
  <c r="P333" s="1"/>
  <c r="Q334"/>
  <c r="Q333" s="1"/>
  <c r="N334"/>
  <c r="N333" s="1"/>
  <c r="M334"/>
  <c r="M333" s="1"/>
  <c r="L334"/>
  <c r="L333" s="1"/>
  <c r="K334"/>
  <c r="J334"/>
  <c r="I334"/>
  <c r="I333" s="1"/>
  <c r="H334"/>
  <c r="H333" s="1"/>
  <c r="K333"/>
  <c r="J333"/>
  <c r="N329"/>
  <c r="N328" s="1"/>
  <c r="K329"/>
  <c r="K328" s="1"/>
  <c r="L329"/>
  <c r="L328" s="1"/>
  <c r="M329"/>
  <c r="M328" s="1"/>
  <c r="J329"/>
  <c r="J328" s="1"/>
  <c r="I329"/>
  <c r="H329"/>
  <c r="H328" s="1"/>
  <c r="I328"/>
  <c r="I12" l="1"/>
  <c r="K12"/>
  <c r="J12"/>
  <c r="J67"/>
  <c r="J62" s="1"/>
  <c r="H555" l="1"/>
  <c r="H602" s="1"/>
  <c r="W37" l="1"/>
  <c r="X569" l="1"/>
  <c r="M449" l="1"/>
  <c r="N449"/>
  <c r="O449"/>
  <c r="P449"/>
  <c r="Q449"/>
  <c r="R449"/>
  <c r="S449"/>
  <c r="T449"/>
  <c r="U449"/>
  <c r="V449"/>
  <c r="I521"/>
  <c r="I520" s="1"/>
  <c r="L521"/>
  <c r="L520" s="1"/>
  <c r="H521"/>
  <c r="K461"/>
  <c r="K460" s="1"/>
  <c r="J461"/>
  <c r="J460" s="1"/>
  <c r="I461"/>
  <c r="I460" s="1"/>
  <c r="H461"/>
  <c r="H460" s="1"/>
  <c r="W451"/>
  <c r="H452"/>
  <c r="K380"/>
  <c r="K379" s="1"/>
  <c r="L380"/>
  <c r="L379" s="1"/>
  <c r="J380"/>
  <c r="J379" s="1"/>
  <c r="I380"/>
  <c r="I379" s="1"/>
  <c r="H380"/>
  <c r="H379"/>
  <c r="W375"/>
  <c r="J347"/>
  <c r="J346" s="1"/>
  <c r="I347"/>
  <c r="H347"/>
  <c r="H346" s="1"/>
  <c r="I346"/>
  <c r="J325"/>
  <c r="J324" s="1"/>
  <c r="I325"/>
  <c r="H325"/>
  <c r="H324" s="1"/>
  <c r="I324"/>
  <c r="J283"/>
  <c r="J281" s="1"/>
  <c r="I283"/>
  <c r="H283"/>
  <c r="I281"/>
  <c r="H281"/>
  <c r="W273"/>
  <c r="J252"/>
  <c r="J251" s="1"/>
  <c r="I252"/>
  <c r="I251" s="1"/>
  <c r="H252"/>
  <c r="H251" s="1"/>
  <c r="W218"/>
  <c r="W175"/>
  <c r="W169"/>
  <c r="W162"/>
  <c r="Q165"/>
  <c r="Q11" s="1"/>
  <c r="Q163"/>
  <c r="W70"/>
  <c r="J49"/>
  <c r="J47" s="1"/>
  <c r="I49"/>
  <c r="I47" s="1"/>
  <c r="H49"/>
  <c r="H47" s="1"/>
  <c r="Q162" l="1"/>
  <c r="W359"/>
  <c r="I364"/>
  <c r="J364"/>
  <c r="H364"/>
  <c r="H610"/>
  <c r="H600" s="1"/>
  <c r="W363"/>
  <c r="J151"/>
  <c r="J149" s="1"/>
  <c r="I151"/>
  <c r="I149" s="1"/>
  <c r="H151"/>
  <c r="H149" s="1"/>
  <c r="W121"/>
  <c r="K117"/>
  <c r="K115" s="1"/>
  <c r="I94"/>
  <c r="K92"/>
  <c r="K360" l="1"/>
  <c r="K359" s="1"/>
  <c r="L360"/>
  <c r="L359" s="1"/>
  <c r="W203"/>
  <c r="W455"/>
  <c r="W448" s="1"/>
  <c r="W404"/>
  <c r="W388"/>
  <c r="W350"/>
  <c r="W191"/>
  <c r="W138"/>
  <c r="W109"/>
  <c r="W103"/>
  <c r="W98"/>
  <c r="W9" l="1"/>
  <c r="J414"/>
  <c r="J412" s="1"/>
  <c r="I414"/>
  <c r="I412" s="1"/>
  <c r="H414"/>
  <c r="H412" s="1"/>
  <c r="K214"/>
  <c r="J214"/>
  <c r="I214"/>
  <c r="H214"/>
  <c r="K213"/>
  <c r="J213"/>
  <c r="I213"/>
  <c r="H213"/>
  <c r="K393"/>
  <c r="K392" s="1"/>
  <c r="L393"/>
  <c r="L392" s="1"/>
  <c r="M393"/>
  <c r="M392" s="1"/>
  <c r="N393"/>
  <c r="N392" s="1"/>
  <c r="J393"/>
  <c r="J392" s="1"/>
  <c r="I393"/>
  <c r="H393"/>
  <c r="I392"/>
  <c r="H392"/>
  <c r="J343"/>
  <c r="J342" s="1"/>
  <c r="I343"/>
  <c r="I342" s="1"/>
  <c r="H343"/>
  <c r="H342" s="1"/>
  <c r="L465"/>
  <c r="L464" s="1"/>
  <c r="I465"/>
  <c r="J465"/>
  <c r="K465"/>
  <c r="H465"/>
  <c r="H464" s="1"/>
  <c r="K464"/>
  <c r="J464"/>
  <c r="I464"/>
  <c r="J435"/>
  <c r="J434" s="1"/>
  <c r="I435"/>
  <c r="I434" s="1"/>
  <c r="H435"/>
  <c r="H434" s="1"/>
  <c r="I227"/>
  <c r="J227"/>
  <c r="K227"/>
  <c r="H227"/>
  <c r="I224"/>
  <c r="I223" s="1"/>
  <c r="J224"/>
  <c r="J223" s="1"/>
  <c r="K224"/>
  <c r="K223" s="1"/>
  <c r="H224"/>
  <c r="H223" s="1"/>
  <c r="H450"/>
  <c r="K521"/>
  <c r="K520" s="1"/>
  <c r="J521"/>
  <c r="I158"/>
  <c r="I156" s="1"/>
  <c r="J158"/>
  <c r="J156" s="1"/>
  <c r="K158"/>
  <c r="K156" s="1"/>
  <c r="L158"/>
  <c r="H158"/>
  <c r="H156" s="1"/>
  <c r="H135"/>
  <c r="K135"/>
  <c r="I307"/>
  <c r="L156" l="1"/>
  <c r="K133"/>
  <c r="H133"/>
  <c r="J520"/>
  <c r="U526"/>
  <c r="V526"/>
  <c r="H547"/>
  <c r="L546"/>
  <c r="L545" s="1"/>
  <c r="I546"/>
  <c r="I545" s="1"/>
  <c r="K546"/>
  <c r="J546"/>
  <c r="H423"/>
  <c r="J406"/>
  <c r="J556" s="1"/>
  <c r="J554" s="1"/>
  <c r="H562"/>
  <c r="H609" s="1"/>
  <c r="L294"/>
  <c r="K292"/>
  <c r="K557" s="1"/>
  <c r="K552" s="1"/>
  <c r="L291"/>
  <c r="L556" s="1"/>
  <c r="K291"/>
  <c r="K556" s="1"/>
  <c r="K554" s="1"/>
  <c r="K609"/>
  <c r="I312"/>
  <c r="I562" s="1"/>
  <c r="I552" s="1"/>
  <c r="H390"/>
  <c r="L387"/>
  <c r="L385"/>
  <c r="L557" s="1"/>
  <c r="H441"/>
  <c r="H439" s="1"/>
  <c r="J441"/>
  <c r="J439" s="1"/>
  <c r="I441"/>
  <c r="I439" s="1"/>
  <c r="J259"/>
  <c r="H206"/>
  <c r="H560" s="1"/>
  <c r="H607" s="1"/>
  <c r="H597" s="1"/>
  <c r="L207"/>
  <c r="K207"/>
  <c r="K559" s="1"/>
  <c r="J207"/>
  <c r="J559" s="1"/>
  <c r="I207"/>
  <c r="K259"/>
  <c r="L554" l="1"/>
  <c r="I559"/>
  <c r="I549" s="1"/>
  <c r="I551"/>
  <c r="L562"/>
  <c r="L559" s="1"/>
  <c r="L549" s="1"/>
  <c r="K551"/>
  <c r="K549"/>
  <c r="L551"/>
  <c r="J551"/>
  <c r="J549"/>
  <c r="I609"/>
  <c r="I599" s="1"/>
  <c r="J604"/>
  <c r="K604"/>
  <c r="K599" s="1"/>
  <c r="J608"/>
  <c r="L608"/>
  <c r="J609"/>
  <c r="K603"/>
  <c r="K601" s="1"/>
  <c r="J603"/>
  <c r="J601" s="1"/>
  <c r="I608"/>
  <c r="K608"/>
  <c r="L604"/>
  <c r="L603"/>
  <c r="I603"/>
  <c r="I601" s="1"/>
  <c r="H550"/>
  <c r="H557"/>
  <c r="H604" s="1"/>
  <c r="H520"/>
  <c r="H546"/>
  <c r="H207"/>
  <c r="K545"/>
  <c r="J545"/>
  <c r="L609" l="1"/>
  <c r="L599" s="1"/>
  <c r="L552"/>
  <c r="L601"/>
  <c r="K598"/>
  <c r="K606"/>
  <c r="K596" s="1"/>
  <c r="I598"/>
  <c r="I606"/>
  <c r="I596" s="1"/>
  <c r="L598"/>
  <c r="L606"/>
  <c r="J598"/>
  <c r="J606"/>
  <c r="J596" s="1"/>
  <c r="J599"/>
  <c r="H599"/>
  <c r="H574"/>
  <c r="H608"/>
  <c r="H545"/>
  <c r="H526"/>
  <c r="H525" s="1"/>
  <c r="H205"/>
  <c r="H203" s="1"/>
  <c r="P574"/>
  <c r="R574"/>
  <c r="T574"/>
  <c r="I574"/>
  <c r="K574"/>
  <c r="J287"/>
  <c r="J285" s="1"/>
  <c r="I287"/>
  <c r="H287"/>
  <c r="H285" s="1"/>
  <c r="I285"/>
  <c r="I279"/>
  <c r="J279"/>
  <c r="H279"/>
  <c r="L596" l="1"/>
  <c r="H606"/>
  <c r="O574"/>
  <c r="M574"/>
  <c r="N574"/>
  <c r="S574"/>
  <c r="Q574"/>
  <c r="L574"/>
  <c r="J574"/>
  <c r="J277" l="1"/>
  <c r="I277"/>
  <c r="H277"/>
  <c r="J274"/>
  <c r="J273" s="1"/>
  <c r="I274"/>
  <c r="I273" s="1"/>
  <c r="H274"/>
  <c r="H273" s="1"/>
  <c r="I267"/>
  <c r="H267"/>
  <c r="J265"/>
  <c r="I265"/>
  <c r="H265"/>
  <c r="I209"/>
  <c r="I208" s="1"/>
  <c r="J209"/>
  <c r="J208" s="1"/>
  <c r="K209"/>
  <c r="K208" s="1"/>
  <c r="H209"/>
  <c r="H208" s="1"/>
  <c r="I85"/>
  <c r="J85"/>
  <c r="K85"/>
  <c r="H85"/>
  <c r="J94"/>
  <c r="H94"/>
  <c r="J92"/>
  <c r="I92"/>
  <c r="I100"/>
  <c r="J100"/>
  <c r="H100"/>
  <c r="J98"/>
  <c r="I105"/>
  <c r="I103" s="1"/>
  <c r="J105"/>
  <c r="J103" s="1"/>
  <c r="H105"/>
  <c r="H103" s="1"/>
  <c r="I117"/>
  <c r="J117"/>
  <c r="I115"/>
  <c r="J115"/>
  <c r="H117"/>
  <c r="H115" s="1"/>
  <c r="I123"/>
  <c r="I121" s="1"/>
  <c r="J123"/>
  <c r="J121" s="1"/>
  <c r="H123"/>
  <c r="H121" s="1"/>
  <c r="I135"/>
  <c r="I133" s="1"/>
  <c r="J135"/>
  <c r="I140"/>
  <c r="I138" s="1"/>
  <c r="J140"/>
  <c r="H140"/>
  <c r="H138" s="1"/>
  <c r="J138"/>
  <c r="I163"/>
  <c r="J163"/>
  <c r="K163"/>
  <c r="L163"/>
  <c r="M163"/>
  <c r="N163"/>
  <c r="O163"/>
  <c r="P163"/>
  <c r="I165"/>
  <c r="J165"/>
  <c r="K165"/>
  <c r="L165"/>
  <c r="M165"/>
  <c r="M11" s="1"/>
  <c r="N165"/>
  <c r="N11" s="1"/>
  <c r="O165"/>
  <c r="O11" s="1"/>
  <c r="P165"/>
  <c r="P11" s="1"/>
  <c r="H165"/>
  <c r="H163"/>
  <c r="I172"/>
  <c r="J172"/>
  <c r="I170"/>
  <c r="I169" s="1"/>
  <c r="J170"/>
  <c r="J169" s="1"/>
  <c r="K170"/>
  <c r="K169" s="1"/>
  <c r="L170"/>
  <c r="L169" s="1"/>
  <c r="M170"/>
  <c r="M169" s="1"/>
  <c r="N170"/>
  <c r="N169" s="1"/>
  <c r="O170"/>
  <c r="O169" s="1"/>
  <c r="H170"/>
  <c r="H172"/>
  <c r="L176"/>
  <c r="L175" s="1"/>
  <c r="M176"/>
  <c r="M175" s="1"/>
  <c r="N176"/>
  <c r="N175" s="1"/>
  <c r="O176"/>
  <c r="O175" s="1"/>
  <c r="K176"/>
  <c r="K175" s="1"/>
  <c r="I178"/>
  <c r="I175" s="1"/>
  <c r="J178"/>
  <c r="J175" s="1"/>
  <c r="H178"/>
  <c r="H176"/>
  <c r="I247"/>
  <c r="I246" s="1"/>
  <c r="J247"/>
  <c r="J246" s="1"/>
  <c r="H247"/>
  <c r="H246" s="1"/>
  <c r="I240"/>
  <c r="J240"/>
  <c r="K240"/>
  <c r="L240"/>
  <c r="I243"/>
  <c r="K243"/>
  <c r="L243"/>
  <c r="H243"/>
  <c r="H240"/>
  <c r="H235"/>
  <c r="I231"/>
  <c r="I230" s="1"/>
  <c r="J231"/>
  <c r="J230" s="1"/>
  <c r="H231"/>
  <c r="I219"/>
  <c r="J219"/>
  <c r="J218" s="1"/>
  <c r="K219"/>
  <c r="K218" s="1"/>
  <c r="I221"/>
  <c r="H221"/>
  <c r="H219"/>
  <c r="I205"/>
  <c r="I203" s="1"/>
  <c r="J205"/>
  <c r="J203" s="1"/>
  <c r="K205"/>
  <c r="L205"/>
  <c r="I199"/>
  <c r="I198" s="1"/>
  <c r="J199"/>
  <c r="J198" s="1"/>
  <c r="H199"/>
  <c r="H198" s="1"/>
  <c r="I187"/>
  <c r="H187"/>
  <c r="I183"/>
  <c r="I182" s="1"/>
  <c r="J183"/>
  <c r="H183"/>
  <c r="I192"/>
  <c r="I191" s="1"/>
  <c r="J192"/>
  <c r="J191" s="1"/>
  <c r="K192"/>
  <c r="K191" s="1"/>
  <c r="L192"/>
  <c r="L191" s="1"/>
  <c r="H192"/>
  <c r="H195"/>
  <c r="J182" l="1"/>
  <c r="H143"/>
  <c r="H92"/>
  <c r="J133"/>
  <c r="H98"/>
  <c r="I98"/>
  <c r="L203"/>
  <c r="K203"/>
  <c r="H175"/>
  <c r="I264"/>
  <c r="J264"/>
  <c r="H218"/>
  <c r="H264"/>
  <c r="H239"/>
  <c r="O162"/>
  <c r="M162"/>
  <c r="K162"/>
  <c r="I162"/>
  <c r="H191"/>
  <c r="H169"/>
  <c r="H162"/>
  <c r="P162"/>
  <c r="N162"/>
  <c r="L162"/>
  <c r="J162"/>
  <c r="I218"/>
  <c r="J239"/>
  <c r="H230"/>
  <c r="K239"/>
  <c r="I239"/>
  <c r="L239"/>
  <c r="H182"/>
  <c r="I270"/>
  <c r="I269" s="1"/>
  <c r="J270"/>
  <c r="J269" s="1"/>
  <c r="K270"/>
  <c r="L270"/>
  <c r="H270"/>
  <c r="H269" s="1"/>
  <c r="I290"/>
  <c r="J290"/>
  <c r="K290"/>
  <c r="L290"/>
  <c r="H290"/>
  <c r="I293"/>
  <c r="J293"/>
  <c r="K293"/>
  <c r="L293"/>
  <c r="H293"/>
  <c r="I311"/>
  <c r="J311"/>
  <c r="K311"/>
  <c r="L311"/>
  <c r="I309"/>
  <c r="I308" s="1"/>
  <c r="J309"/>
  <c r="J308" s="1"/>
  <c r="K309"/>
  <c r="L309"/>
  <c r="L308" s="1"/>
  <c r="H309"/>
  <c r="H311"/>
  <c r="I351"/>
  <c r="I350" s="1"/>
  <c r="J351"/>
  <c r="J350" s="1"/>
  <c r="H351"/>
  <c r="H350" s="1"/>
  <c r="I354"/>
  <c r="J356"/>
  <c r="J354" s="1"/>
  <c r="K356"/>
  <c r="K354" s="1"/>
  <c r="L356"/>
  <c r="L354" s="1"/>
  <c r="M356"/>
  <c r="N356"/>
  <c r="O356"/>
  <c r="H356"/>
  <c r="H354" s="1"/>
  <c r="I363"/>
  <c r="J363"/>
  <c r="H363"/>
  <c r="I376"/>
  <c r="I375" s="1"/>
  <c r="J376"/>
  <c r="J375" s="1"/>
  <c r="H376"/>
  <c r="H375" s="1"/>
  <c r="I384"/>
  <c r="J384"/>
  <c r="K384"/>
  <c r="L384"/>
  <c r="I386"/>
  <c r="J386"/>
  <c r="K386"/>
  <c r="L386"/>
  <c r="H386"/>
  <c r="H384"/>
  <c r="I389"/>
  <c r="I388" s="1"/>
  <c r="J389"/>
  <c r="J388" s="1"/>
  <c r="K389"/>
  <c r="K388" s="1"/>
  <c r="H389"/>
  <c r="H388" s="1"/>
  <c r="I398"/>
  <c r="I396" s="1"/>
  <c r="J398"/>
  <c r="J396" s="1"/>
  <c r="H398"/>
  <c r="H396" s="1"/>
  <c r="I401"/>
  <c r="I400" s="1"/>
  <c r="J401"/>
  <c r="J400" s="1"/>
  <c r="H401"/>
  <c r="H400" s="1"/>
  <c r="I405"/>
  <c r="I404" s="1"/>
  <c r="J405"/>
  <c r="K405"/>
  <c r="K404" s="1"/>
  <c r="L405"/>
  <c r="M405"/>
  <c r="N405"/>
  <c r="O405"/>
  <c r="P405"/>
  <c r="Q405"/>
  <c r="R405"/>
  <c r="R262" s="1"/>
  <c r="S405"/>
  <c r="S262" s="1"/>
  <c r="T405"/>
  <c r="T262" s="1"/>
  <c r="U405"/>
  <c r="U262" s="1"/>
  <c r="V405"/>
  <c r="V262" s="1"/>
  <c r="H405"/>
  <c r="H404" s="1"/>
  <c r="J404"/>
  <c r="L404"/>
  <c r="N404"/>
  <c r="P404"/>
  <c r="R404"/>
  <c r="T404"/>
  <c r="V404"/>
  <c r="I426"/>
  <c r="J426"/>
  <c r="J425" s="1"/>
  <c r="K426"/>
  <c r="L426"/>
  <c r="L425" s="1"/>
  <c r="M426"/>
  <c r="N426"/>
  <c r="N425" s="1"/>
  <c r="O426"/>
  <c r="P426"/>
  <c r="P425" s="1"/>
  <c r="Q426"/>
  <c r="H426"/>
  <c r="H425" s="1"/>
  <c r="I422"/>
  <c r="J422"/>
  <c r="J421" s="1"/>
  <c r="K422"/>
  <c r="L422"/>
  <c r="L421" s="1"/>
  <c r="H422"/>
  <c r="I417"/>
  <c r="J417"/>
  <c r="H419"/>
  <c r="H417"/>
  <c r="I416"/>
  <c r="J416"/>
  <c r="I421"/>
  <c r="K421"/>
  <c r="H421"/>
  <c r="I425"/>
  <c r="K425"/>
  <c r="M425"/>
  <c r="O425"/>
  <c r="Q425"/>
  <c r="I430"/>
  <c r="I429" s="1"/>
  <c r="J430"/>
  <c r="J429" s="1"/>
  <c r="K430"/>
  <c r="K429" s="1"/>
  <c r="L430"/>
  <c r="L429" s="1"/>
  <c r="H430"/>
  <c r="H429" s="1"/>
  <c r="I456"/>
  <c r="J456"/>
  <c r="K456"/>
  <c r="H456"/>
  <c r="I455"/>
  <c r="J455"/>
  <c r="K455"/>
  <c r="H455"/>
  <c r="H451"/>
  <c r="I297"/>
  <c r="J297"/>
  <c r="K297"/>
  <c r="L297"/>
  <c r="H297"/>
  <c r="I300"/>
  <c r="J300"/>
  <c r="K300"/>
  <c r="L300"/>
  <c r="H300"/>
  <c r="I469"/>
  <c r="I468" s="1"/>
  <c r="J469"/>
  <c r="J468" s="1"/>
  <c r="H470"/>
  <c r="H469" s="1"/>
  <c r="H468" s="1"/>
  <c r="I473"/>
  <c r="I472" s="1"/>
  <c r="J473"/>
  <c r="J472" s="1"/>
  <c r="K473"/>
  <c r="K472" s="1"/>
  <c r="H474"/>
  <c r="H473" s="1"/>
  <c r="H472" s="1"/>
  <c r="I477"/>
  <c r="I476" s="1"/>
  <c r="J477"/>
  <c r="J476" s="1"/>
  <c r="K477"/>
  <c r="K476" s="1"/>
  <c r="H478"/>
  <c r="I481"/>
  <c r="I480" s="1"/>
  <c r="J481"/>
  <c r="J480" s="1"/>
  <c r="I485"/>
  <c r="I484" s="1"/>
  <c r="J485"/>
  <c r="J484" s="1"/>
  <c r="K485"/>
  <c r="K484" s="1"/>
  <c r="H486"/>
  <c r="I489"/>
  <c r="I488" s="1"/>
  <c r="J489"/>
  <c r="J488" s="1"/>
  <c r="H490"/>
  <c r="I493"/>
  <c r="I492" s="1"/>
  <c r="J493"/>
  <c r="J492" s="1"/>
  <c r="K493"/>
  <c r="K492" s="1"/>
  <c r="H494"/>
  <c r="I497"/>
  <c r="I496" s="1"/>
  <c r="J497"/>
  <c r="J496" s="1"/>
  <c r="K497"/>
  <c r="K496" s="1"/>
  <c r="L497"/>
  <c r="L449" s="1"/>
  <c r="H498"/>
  <c r="I501"/>
  <c r="I500" s="1"/>
  <c r="J501"/>
  <c r="H502"/>
  <c r="I505"/>
  <c r="I504" s="1"/>
  <c r="J505"/>
  <c r="J504" s="1"/>
  <c r="K505"/>
  <c r="K504" s="1"/>
  <c r="H506"/>
  <c r="I509"/>
  <c r="I508" s="1"/>
  <c r="J509"/>
  <c r="K509"/>
  <c r="K508" s="1"/>
  <c r="H510"/>
  <c r="I513"/>
  <c r="I512" s="1"/>
  <c r="J513"/>
  <c r="J512" s="1"/>
  <c r="K513"/>
  <c r="K512" s="1"/>
  <c r="H514"/>
  <c r="I517"/>
  <c r="I516" s="1"/>
  <c r="J517"/>
  <c r="H518"/>
  <c r="I71"/>
  <c r="J71"/>
  <c r="K71"/>
  <c r="L71"/>
  <c r="L10" s="1"/>
  <c r="M71"/>
  <c r="M10" s="1"/>
  <c r="M9" s="1"/>
  <c r="N71"/>
  <c r="N10" s="1"/>
  <c r="N9" s="1"/>
  <c r="O71"/>
  <c r="O10" s="1"/>
  <c r="O9" s="1"/>
  <c r="P71"/>
  <c r="P10" s="1"/>
  <c r="P9" s="1"/>
  <c r="Q71"/>
  <c r="Q10" s="1"/>
  <c r="Q9" s="1"/>
  <c r="H71"/>
  <c r="H70" s="1"/>
  <c r="I70"/>
  <c r="J70"/>
  <c r="M70"/>
  <c r="O70"/>
  <c r="Q70"/>
  <c r="I59"/>
  <c r="I57" s="1"/>
  <c r="J59"/>
  <c r="H59"/>
  <c r="H57" s="1"/>
  <c r="J57"/>
  <c r="I54"/>
  <c r="I52" s="1"/>
  <c r="J54"/>
  <c r="J52" s="1"/>
  <c r="H54"/>
  <c r="H52" s="1"/>
  <c r="I44"/>
  <c r="I42" s="1"/>
  <c r="J44"/>
  <c r="H44"/>
  <c r="H42" s="1"/>
  <c r="J42"/>
  <c r="I39"/>
  <c r="J39"/>
  <c r="K39"/>
  <c r="H39"/>
  <c r="H556"/>
  <c r="H603" s="1"/>
  <c r="I320"/>
  <c r="I319" s="1"/>
  <c r="J320"/>
  <c r="J319" s="1"/>
  <c r="I37" l="1"/>
  <c r="P262"/>
  <c r="N262"/>
  <c r="L262"/>
  <c r="H601"/>
  <c r="H596" s="1"/>
  <c r="H598"/>
  <c r="Q262"/>
  <c r="O262"/>
  <c r="M262"/>
  <c r="K37"/>
  <c r="J37"/>
  <c r="P70"/>
  <c r="N70"/>
  <c r="L70"/>
  <c r="K70"/>
  <c r="H554"/>
  <c r="H416"/>
  <c r="H37"/>
  <c r="H320"/>
  <c r="H319" s="1"/>
  <c r="U404"/>
  <c r="S404"/>
  <c r="Q404"/>
  <c r="O404"/>
  <c r="M404"/>
  <c r="I383"/>
  <c r="K308"/>
  <c r="H383"/>
  <c r="O354"/>
  <c r="M354"/>
  <c r="K269"/>
  <c r="H501"/>
  <c r="H500" s="1"/>
  <c r="L496"/>
  <c r="N354"/>
  <c r="L269"/>
  <c r="L296"/>
  <c r="J296"/>
  <c r="H296"/>
  <c r="K296"/>
  <c r="I296"/>
  <c r="L289"/>
  <c r="J289"/>
  <c r="H308"/>
  <c r="H289"/>
  <c r="K289"/>
  <c r="I289"/>
  <c r="L383"/>
  <c r="J383"/>
  <c r="K383"/>
  <c r="H517"/>
  <c r="H509"/>
  <c r="H516"/>
  <c r="H508"/>
  <c r="J516"/>
  <c r="H513"/>
  <c r="J508"/>
  <c r="H505"/>
  <c r="J500"/>
  <c r="H497"/>
  <c r="H489"/>
  <c r="H481"/>
  <c r="H493"/>
  <c r="H485"/>
  <c r="H477"/>
  <c r="I315"/>
  <c r="I313" s="1"/>
  <c r="J315"/>
  <c r="K315"/>
  <c r="L315"/>
  <c r="H315"/>
  <c r="H313" s="1"/>
  <c r="I87"/>
  <c r="I84" s="1"/>
  <c r="J87"/>
  <c r="J84" s="1"/>
  <c r="K87"/>
  <c r="K84" s="1"/>
  <c r="H87"/>
  <c r="H84" s="1"/>
  <c r="K80"/>
  <c r="K77"/>
  <c r="K10" s="1"/>
  <c r="J77"/>
  <c r="J10" s="1"/>
  <c r="I77"/>
  <c r="I10" s="1"/>
  <c r="H77"/>
  <c r="H10" s="1"/>
  <c r="H80"/>
  <c r="K373"/>
  <c r="K371" s="1"/>
  <c r="J373"/>
  <c r="J371" s="1"/>
  <c r="I373"/>
  <c r="I371" s="1"/>
  <c r="H373"/>
  <c r="H371" s="1"/>
  <c r="H369"/>
  <c r="H367" s="1"/>
  <c r="J369"/>
  <c r="I369"/>
  <c r="I367" s="1"/>
  <c r="J367"/>
  <c r="I111"/>
  <c r="J111"/>
  <c r="J109" s="1"/>
  <c r="H111"/>
  <c r="I129"/>
  <c r="I127" s="1"/>
  <c r="J129"/>
  <c r="J127" s="1"/>
  <c r="K129"/>
  <c r="K127" s="1"/>
  <c r="K569" s="1"/>
  <c r="L129"/>
  <c r="L11" s="1"/>
  <c r="L9" s="1"/>
  <c r="H129"/>
  <c r="H127" s="1"/>
  <c r="H569" s="1"/>
  <c r="K11" l="1"/>
  <c r="K9" s="1"/>
  <c r="H449"/>
  <c r="H565"/>
  <c r="I109"/>
  <c r="H109"/>
  <c r="L127"/>
  <c r="L569" s="1"/>
  <c r="H76"/>
  <c r="K76"/>
  <c r="L313"/>
  <c r="J313"/>
  <c r="K313"/>
  <c r="H484"/>
  <c r="H480"/>
  <c r="H496"/>
  <c r="H504"/>
  <c r="H512"/>
  <c r="H476"/>
  <c r="H492"/>
  <c r="H488"/>
  <c r="H304"/>
  <c r="H306"/>
  <c r="I67"/>
  <c r="H67"/>
  <c r="H11" s="1"/>
  <c r="H410"/>
  <c r="H408" s="1"/>
  <c r="I62" l="1"/>
  <c r="H9"/>
  <c r="H62"/>
  <c r="H303"/>
  <c r="H445" l="1"/>
  <c r="H360"/>
  <c r="H262" s="1"/>
  <c r="H572" l="1"/>
  <c r="H571"/>
  <c r="H443"/>
  <c r="H359"/>
  <c r="H553"/>
  <c r="H7"/>
  <c r="H566"/>
  <c r="H575" l="1"/>
  <c r="H261"/>
  <c r="H448"/>
  <c r="H564" s="1"/>
  <c r="H6"/>
  <c r="H5" s="1"/>
  <c r="H552"/>
  <c r="H559"/>
  <c r="H551"/>
  <c r="H570" l="1"/>
  <c r="H549"/>
  <c r="I143" l="1"/>
  <c r="K143"/>
  <c r="J143"/>
  <c r="U525" l="1"/>
  <c r="V525"/>
  <c r="K543"/>
  <c r="K542" s="1"/>
  <c r="J543"/>
  <c r="J542" s="1"/>
  <c r="I543"/>
  <c r="I542" s="1"/>
  <c r="V566" l="1"/>
  <c r="V565"/>
  <c r="U566"/>
  <c r="U565"/>
  <c r="I450"/>
  <c r="J450"/>
  <c r="K450"/>
  <c r="K572" s="1"/>
  <c r="L450"/>
  <c r="M450"/>
  <c r="N450"/>
  <c r="O450"/>
  <c r="P450"/>
  <c r="Q450"/>
  <c r="R450"/>
  <c r="S450"/>
  <c r="T450"/>
  <c r="U450"/>
  <c r="V450"/>
  <c r="V448" l="1"/>
  <c r="V564" s="1"/>
  <c r="T448"/>
  <c r="R448"/>
  <c r="P448"/>
  <c r="N448"/>
  <c r="L448"/>
  <c r="U448"/>
  <c r="U564" s="1"/>
  <c r="S448"/>
  <c r="Q448"/>
  <c r="O448"/>
  <c r="M448"/>
  <c r="J80"/>
  <c r="J11" s="1"/>
  <c r="J9" s="1"/>
  <c r="J76" l="1"/>
  <c r="L258"/>
  <c r="M258"/>
  <c r="N258"/>
  <c r="O258"/>
  <c r="P258"/>
  <c r="Q258"/>
  <c r="R258"/>
  <c r="S258"/>
  <c r="T258"/>
  <c r="U258"/>
  <c r="U571" s="1"/>
  <c r="V258"/>
  <c r="V571" s="1"/>
  <c r="I259"/>
  <c r="L259"/>
  <c r="L572" s="1"/>
  <c r="M259"/>
  <c r="M572" s="1"/>
  <c r="N259"/>
  <c r="N572" s="1"/>
  <c r="O259"/>
  <c r="O572" s="1"/>
  <c r="P259"/>
  <c r="P572" s="1"/>
  <c r="Q259"/>
  <c r="Q572" s="1"/>
  <c r="R259"/>
  <c r="R572" s="1"/>
  <c r="S259"/>
  <c r="S572" s="1"/>
  <c r="T259"/>
  <c r="T572" s="1"/>
  <c r="U259"/>
  <c r="U572" s="1"/>
  <c r="V259"/>
  <c r="V572" s="1"/>
  <c r="K452"/>
  <c r="K449" s="1"/>
  <c r="J452"/>
  <c r="J449" s="1"/>
  <c r="I452"/>
  <c r="I449" s="1"/>
  <c r="K451" l="1"/>
  <c r="K448"/>
  <c r="I451"/>
  <c r="I448"/>
  <c r="J451"/>
  <c r="J448"/>
  <c r="V257"/>
  <c r="T257"/>
  <c r="R257"/>
  <c r="P257"/>
  <c r="N257"/>
  <c r="L257"/>
  <c r="J257"/>
  <c r="U257"/>
  <c r="S257"/>
  <c r="Q257"/>
  <c r="O257"/>
  <c r="M257"/>
  <c r="K257"/>
  <c r="I257"/>
  <c r="Q7" l="1"/>
  <c r="R7"/>
  <c r="S7"/>
  <c r="T7"/>
  <c r="U7"/>
  <c r="V7"/>
  <c r="M540" l="1"/>
  <c r="M539" s="1"/>
  <c r="L540"/>
  <c r="L539" s="1"/>
  <c r="K540"/>
  <c r="K539" s="1"/>
  <c r="J540"/>
  <c r="J539" s="1"/>
  <c r="I540"/>
  <c r="I539" s="1"/>
  <c r="J537"/>
  <c r="J536" s="1"/>
  <c r="I537"/>
  <c r="I536" s="1"/>
  <c r="T534"/>
  <c r="T526" s="1"/>
  <c r="S534"/>
  <c r="S533" s="1"/>
  <c r="R534"/>
  <c r="R533" s="1"/>
  <c r="Q534"/>
  <c r="P534"/>
  <c r="P533" s="1"/>
  <c r="O534"/>
  <c r="O533" s="1"/>
  <c r="N534"/>
  <c r="N533" s="1"/>
  <c r="M534"/>
  <c r="M533" s="1"/>
  <c r="L534"/>
  <c r="L533" s="1"/>
  <c r="K534"/>
  <c r="K533" s="1"/>
  <c r="J534"/>
  <c r="J533" s="1"/>
  <c r="I534"/>
  <c r="I533" s="1"/>
  <c r="T533"/>
  <c r="Q533"/>
  <c r="K531"/>
  <c r="K530" s="1"/>
  <c r="J531"/>
  <c r="J530" s="1"/>
  <c r="I531"/>
  <c r="I530" s="1"/>
  <c r="S528"/>
  <c r="S526" s="1"/>
  <c r="R528"/>
  <c r="R526" s="1"/>
  <c r="Q528"/>
  <c r="Q526" s="1"/>
  <c r="P528"/>
  <c r="P526" s="1"/>
  <c r="O528"/>
  <c r="O526" s="1"/>
  <c r="N528"/>
  <c r="N526" s="1"/>
  <c r="M528"/>
  <c r="M526" s="1"/>
  <c r="L528"/>
  <c r="L526" s="1"/>
  <c r="K528"/>
  <c r="J528"/>
  <c r="I528"/>
  <c r="W525"/>
  <c r="J445"/>
  <c r="J443" s="1"/>
  <c r="I445"/>
  <c r="J410"/>
  <c r="I410"/>
  <c r="I408" s="1"/>
  <c r="J360"/>
  <c r="I360"/>
  <c r="I80"/>
  <c r="I11" s="1"/>
  <c r="I9" s="1"/>
  <c r="I306"/>
  <c r="K304"/>
  <c r="K262" s="1"/>
  <c r="J304"/>
  <c r="J262" s="1"/>
  <c r="I304"/>
  <c r="I262" s="1"/>
  <c r="W5"/>
  <c r="J572" l="1"/>
  <c r="I572"/>
  <c r="W564"/>
  <c r="W549"/>
  <c r="W596" s="1"/>
  <c r="J526"/>
  <c r="J359"/>
  <c r="J261"/>
  <c r="I526"/>
  <c r="I525" s="1"/>
  <c r="K526"/>
  <c r="I261"/>
  <c r="W570"/>
  <c r="T525"/>
  <c r="T565" s="1"/>
  <c r="T571"/>
  <c r="J408"/>
  <c r="I443"/>
  <c r="I359"/>
  <c r="M261"/>
  <c r="O261"/>
  <c r="Q261"/>
  <c r="S261"/>
  <c r="U261"/>
  <c r="K7"/>
  <c r="N261"/>
  <c r="P261"/>
  <c r="R261"/>
  <c r="T261"/>
  <c r="V261"/>
  <c r="K261"/>
  <c r="J527"/>
  <c r="J525"/>
  <c r="P527"/>
  <c r="L527"/>
  <c r="N527"/>
  <c r="R527"/>
  <c r="I527"/>
  <c r="K527"/>
  <c r="K525"/>
  <c r="M527"/>
  <c r="O527"/>
  <c r="Q527"/>
  <c r="S527"/>
  <c r="I76"/>
  <c r="V6"/>
  <c r="V5" s="1"/>
  <c r="V570" s="1"/>
  <c r="M7"/>
  <c r="O7"/>
  <c r="L7"/>
  <c r="N7"/>
  <c r="P7"/>
  <c r="P6"/>
  <c r="R6"/>
  <c r="R5" s="1"/>
  <c r="T6"/>
  <c r="T5" s="1"/>
  <c r="T570" s="1"/>
  <c r="K303"/>
  <c r="S6"/>
  <c r="S5" s="1"/>
  <c r="U6"/>
  <c r="U5" s="1"/>
  <c r="U570" s="1"/>
  <c r="I303"/>
  <c r="J303"/>
  <c r="T566" l="1"/>
  <c r="T564"/>
  <c r="I571"/>
  <c r="S525"/>
  <c r="S570" s="1"/>
  <c r="S571"/>
  <c r="Q525"/>
  <c r="Q566" s="1"/>
  <c r="Q571"/>
  <c r="O525"/>
  <c r="O565" s="1"/>
  <c r="O571"/>
  <c r="M525"/>
  <c r="M566" s="1"/>
  <c r="M571"/>
  <c r="R525"/>
  <c r="R570" s="1"/>
  <c r="R571"/>
  <c r="N525"/>
  <c r="N566" s="1"/>
  <c r="N571"/>
  <c r="L525"/>
  <c r="L565" s="1"/>
  <c r="L571"/>
  <c r="P525"/>
  <c r="P566" s="1"/>
  <c r="P571"/>
  <c r="K571"/>
  <c r="J571"/>
  <c r="S566"/>
  <c r="K566"/>
  <c r="K565"/>
  <c r="K564"/>
  <c r="I566"/>
  <c r="I565"/>
  <c r="I564"/>
  <c r="J566"/>
  <c r="J565"/>
  <c r="J564"/>
  <c r="L261"/>
  <c r="L6"/>
  <c r="L5" s="1"/>
  <c r="I7"/>
  <c r="J7"/>
  <c r="J6"/>
  <c r="I6"/>
  <c r="P5"/>
  <c r="Q6"/>
  <c r="Q5" s="1"/>
  <c r="Q570" s="1"/>
  <c r="O6"/>
  <c r="O5" s="1"/>
  <c r="M6"/>
  <c r="M5" s="1"/>
  <c r="M570" s="1"/>
  <c r="K6"/>
  <c r="K5" s="1"/>
  <c r="K570" s="1"/>
  <c r="N6"/>
  <c r="N5" s="1"/>
  <c r="N570" s="1"/>
  <c r="Q565" l="1"/>
  <c r="I575"/>
  <c r="J575"/>
  <c r="K575"/>
  <c r="P575"/>
  <c r="N575"/>
  <c r="M575"/>
  <c r="Q575"/>
  <c r="O570"/>
  <c r="R566"/>
  <c r="S564"/>
  <c r="L564"/>
  <c r="O564"/>
  <c r="N565"/>
  <c r="P570"/>
  <c r="L570"/>
  <c r="P565"/>
  <c r="L566"/>
  <c r="R564"/>
  <c r="M565"/>
  <c r="O566"/>
  <c r="P564"/>
  <c r="N564"/>
  <c r="R565"/>
  <c r="M564"/>
  <c r="Q564"/>
  <c r="S565"/>
  <c r="I5"/>
  <c r="I570" s="1"/>
  <c r="J5"/>
  <c r="J570" s="1"/>
  <c r="O575" l="1"/>
  <c r="L575"/>
  <c r="R575"/>
</calcChain>
</file>

<file path=xl/sharedStrings.xml><?xml version="1.0" encoding="utf-8"?>
<sst xmlns="http://schemas.openxmlformats.org/spreadsheetml/2006/main" count="1034" uniqueCount="337">
  <si>
    <t>Lp</t>
  </si>
  <si>
    <t>limit zobowiązań</t>
  </si>
  <si>
    <t>Przedsięwzięcia ogółem</t>
  </si>
  <si>
    <t xml:space="preserve"> - wydatki bieżące</t>
  </si>
  <si>
    <t xml:space="preserve"> - wydatki majątkowe</t>
  </si>
  <si>
    <t>1) programy, projekty lub zadania (razem)</t>
  </si>
  <si>
    <t>b) programy, projekty lub zadania związane z umowami partnerstwa publiczno - prywatnego; (razem)</t>
  </si>
  <si>
    <t>c) programy, projekty lub zadania pozostałe (inne niż wymienione w lit. a i b) (razem)</t>
  </si>
  <si>
    <t>2) umowy, których realizacja w roku budżetowym i w latach następnych jest niezbędna dla zapewnienia ciągłości działania jednostki i których płatności przypadają w okresie dłuższym niż rok;</t>
  </si>
  <si>
    <t>3) gwarancje i poręczenia udzielane przez jednostki samorządu terytorialnego (razem)</t>
  </si>
  <si>
    <t>a) programy, projekty lub zadania związane z programami realizowanymi z udziałem środków, o których mowa w art. 5 ust. 1 pkt 2 i 3, (razem)</t>
  </si>
  <si>
    <t xml:space="preserve"> - wydatki majątkowe, z tego</t>
  </si>
  <si>
    <t xml:space="preserve"> - wydatki bieżące, z tego</t>
  </si>
  <si>
    <t xml:space="preserve">Wojewódzki Urząd Pracy </t>
  </si>
  <si>
    <t>Zimowe utrzymanie dróg Zimowe utrzymanie dróg</t>
  </si>
  <si>
    <t>Regionalny Ośrodek Polityki Społecznej w Rzeszowie, ul. Hetmańska 120</t>
  </si>
  <si>
    <t xml:space="preserve">Szpital  Wojewódzki Nr 2 im. Św. Jadwigi Królowej w Rzeszowie </t>
  </si>
  <si>
    <t>Wojewódzki Szpital im. Św. Ojca Pio w Przemyślu</t>
  </si>
  <si>
    <t>Wojewódzki Szpital im. Zofii z Zamoyskich Tarnowskiej w Tarnobrzegu</t>
  </si>
  <si>
    <t>Wojewódzki Szpital Podkarpacki im. Jana Pawła II w Krośnie</t>
  </si>
  <si>
    <t>Szpital Wojewódzki Nr 2 im. Św. Jadwigi Królowej w Rzeszowie</t>
  </si>
  <si>
    <t>Wojewódzki Urząd Pracy w Rzeszowie</t>
  </si>
  <si>
    <t>Szkolenie i specjalistyczne doradztwo dla kadr instytucji pomocy społecznej działających na terenie województwa podkarpackiego powiązane z potrzebami oraz specyfiką realizowanych zadań.                                                                                                                                                                                                                                                                                                                      Program Operacyjny Kapitał Ludzki 2007-2013 WND-PO KL.07.01.03-18-001/09</t>
  </si>
  <si>
    <t>Budżet Unii Europejskiej</t>
  </si>
  <si>
    <t>Budżet Państwa</t>
  </si>
  <si>
    <t>Budżet Woj. Podkarpackiego</t>
  </si>
  <si>
    <t>Inne źródła</t>
  </si>
  <si>
    <t>2008 - 2014</t>
  </si>
  <si>
    <t>2010 - 2016</t>
  </si>
  <si>
    <t>2010 - 2013</t>
  </si>
  <si>
    <t>2008 - 2023</t>
  </si>
  <si>
    <t>2007 - 2022</t>
  </si>
  <si>
    <t>2011 - 2015</t>
  </si>
  <si>
    <t>2011 - 2020</t>
  </si>
  <si>
    <t>2011 - 2013</t>
  </si>
  <si>
    <t>2008 - 2025</t>
  </si>
  <si>
    <t>2011 - 2014</t>
  </si>
  <si>
    <t>2010 - 2015</t>
  </si>
  <si>
    <t>2009 - 2015</t>
  </si>
  <si>
    <t>2009 - 2013</t>
  </si>
  <si>
    <t>2008 - 2013</t>
  </si>
  <si>
    <t>2010 - 2020</t>
  </si>
  <si>
    <t xml:space="preserve"> Ochrona przeciwpowodziowa aglomeracji Rzeszów Program Operacyjny Infratsruktura i Środowisko 2007 - 2013 </t>
  </si>
  <si>
    <t>Ochrona przed powodzią aglomeracji Rzeszów</t>
  </si>
  <si>
    <t>Departament Programów Rozwoju Obszarów Wiejskich realizuje zadania własne w ramach trzech schematów Pomocy technicznej PROW 2007 - 2013.  Celem realizacji PT jest wsparcie systemu zarządzania, promowania i informowania o PROW. Zabezpieczenie środków na ten cel jest warunkiem niezbędnym do realizacji przez Departament PROW niezbędnych działań związanych z wdrażaniem PROW 2007-2013. Zadania Departamentu w tym zakresie są wynikiem realizacji obowiązków Samorządu Województwa Podkarpackiego zapisanych w ustawie z dnia 7 marca 2007 roku o wspieraniu rozwoju obszarów wiejskich (Dz.U. nr 64 poz 427 z późn. zm.) oraz wynikają z umowy nr 11/BZD-UM09/2009 zawartej w dniu 29 stycznia 2009r. pomierzy SW i ARiMR.</t>
  </si>
  <si>
    <t xml:space="preserve">Pomoc techniczna realizowana w ramach Programu Rozwoju Obszarów Wiejskich  na lata 2007 - 2013. </t>
  </si>
  <si>
    <t>Oddział wdrażania PO RYBY 2007-2013 Departamentu Programów Rozwoju Obszarów Wiejskich realizuje zadania własne w ramach trzech schematów Pomocy technicznej PO RYBY 2007 - 2013.  Celem realizacji PT jest wsparcie systemu zarządzania, promowania i informowania o PO RYBY 2007 - 2013. Zabezpieczenie środków na ten cel jest warunkiem niezbędnym do realizacji przez Oddział  PO RYBY  niezbędnych działań związanych z wdrażaniem PO RYBY 2007 - 2013. Zadania Oddziału w tym zakresie są wynikiem realizacji obowiązków Samorządu Województwa Podkarpackiego zapisanych w Rozporządzeniu Ministra Rolnictwa i Rozwoju Wsi z dn. 29 września 2009r  w sprzwie warunków i sposobu wykonywania zadań instytucji zarządzającej przez samorząd województwa</t>
  </si>
  <si>
    <t xml:space="preserve">Pomoc techniczna realizowana w ramach Programu Operacyjnego „Zrównoważony rozwój sektora rybołówstwa i nadbrzeżnych obszarów rybackich 2007-2013" </t>
  </si>
  <si>
    <t>RPO WP na lata 2007-2013 - Oś I ÷ VII  - dotacje dla beneficjentów programu</t>
  </si>
  <si>
    <r>
      <t>RPO WP na lata 2007-2013 - Oś I ÷</t>
    </r>
    <r>
      <rPr>
        <sz val="10.45"/>
        <rFont val="Calibri"/>
        <family val="2"/>
        <charset val="238"/>
        <scheme val="minor"/>
      </rPr>
      <t xml:space="preserve"> VII</t>
    </r>
  </si>
  <si>
    <t>Program Operacyjny Kapitał Ludzki, Priorytety VI-IX - dotacje dla beneficjentów programu</t>
  </si>
  <si>
    <t>Utworzenie Centrum Obsługi Inwestorów i Eksporterów w Województwie Podkarpackim</t>
  </si>
  <si>
    <t xml:space="preserve">Remonty cząstkowe nawierzchni dóg wojewódzkich </t>
  </si>
  <si>
    <t>Cele "Infrastruktura techniczna i informatyczna"  Poprawa dostępności i jakości infrastruktury transportowej</t>
  </si>
  <si>
    <t xml:space="preserve">Przygotowanie i realizacja budowy  północnej obwodnicy miasta Sokołowa Małopolskiego, celem dodatkowego skomunikowania z drogą wojewódzką Nr 875 Mielec – Kolbuszowa – Sokołów Małopolski – Leżajsk </t>
  </si>
  <si>
    <t>Nazwa przedsięwzięcia</t>
  </si>
  <si>
    <t>Cel przedsięwzięcia</t>
  </si>
  <si>
    <t xml:space="preserve"> Cele "Infrastruktura techniczna i informatyczna"  Poprawa dostępności i jakości infrastruktury transportowe</t>
  </si>
  <si>
    <t>Rozbudowa dr. woj. Nr 855 Olbięcin - Zaklików - Stalowa Wola odc. Granica Województwa - Stalowa Wola</t>
  </si>
  <si>
    <t xml:space="preserve"> Cele "Infrastruktura techniczna i informatyczna"  Poprawa dostępności i jakości infrastruktury transportowej</t>
  </si>
  <si>
    <t xml:space="preserve">Rozbudowa dr. woj. Nr 858 Zarzecze - Biłgoraj - Zwierzyniec - Szczebrzeszyn odc. Zarzecze - Granica Województwa </t>
  </si>
  <si>
    <t>Rozbudowa dr. woj. Nr 985 Nagnajów - Baranów Sandomierski - Mielec - Dębica na odc. Mielec - Dębica etap II</t>
  </si>
  <si>
    <t xml:space="preserve">Rozbudowa dr. woj. Nr 877 Naklik - Leżajsk - Łańcut - Dylągówka - Szklary odc. Granica Województwa - Leżajsk </t>
  </si>
  <si>
    <t xml:space="preserve">Rozbudowa dr. woj. Nr  880 Jarosław - Pruchnik </t>
  </si>
  <si>
    <t xml:space="preserve"> Rozbudowa dr. woj. Nr 892 Zagórz - Komańcza i dr. woj. Nr 897 Tylawa - Komańcza - Radoszyce - Cisna - Ustrzyki Górne - Wołosate Gr. Państwa odc. Komańcza - Radoszyce </t>
  </si>
  <si>
    <t>Stworzenie dogodnych powiązań komunikacyjnych województw Polski Wschodniej</t>
  </si>
  <si>
    <t xml:space="preserve">Likwidacja barier rozwojowych - most na Wiśle z rozbudową drogi wojewódzkiej Nr 764 oraz połączeniem z drogą wojewódzką Nr 875 </t>
  </si>
  <si>
    <t>Zbudowanie w województwie podkarpackim nowoczesnej infrastruktury publicznej bazującej na technologiach informatycznych</t>
  </si>
  <si>
    <t xml:space="preserve">Sieć Szerokopasmowa Polski Wschodniej - Województwo Podkarpackie </t>
  </si>
  <si>
    <t xml:space="preserve">PSeAP - Podkarpacki System e-Administracji Publicznej </t>
  </si>
  <si>
    <t>Uruchomienie w skali województwa jednorodnego systemu obiegu dokumentów i zarządzania sprawami oraz zdalnych usług</t>
  </si>
  <si>
    <t xml:space="preserve">Podkarpacki System Informacji Medycznej” "PSIM" </t>
  </si>
  <si>
    <t>Uruchomienie w skali województwa spójnego systemu wspierającego zarządzanie i funkcjonowanie opieki zdrowotnej w placówkach służby zdrowia</t>
  </si>
  <si>
    <t xml:space="preserve">Projekt systemowy pt. „Wzmocnienie instytucjonalnego systemu wdrażania Regionalnej Strategii Innowacji w latach 2007-2013 w województwie podkarpackim” </t>
  </si>
  <si>
    <t>Wzmocnienie instytucjonalnego systemu wdrażania Regionalnej Strategii Innowacji w latach 2007-2013 w województwie</t>
  </si>
  <si>
    <t>Zapewnienie prawidłowej obsługi wdrażania RPO WP</t>
  </si>
  <si>
    <t xml:space="preserve">Projekty pomocy technicznej - RPO WP </t>
  </si>
  <si>
    <t xml:space="preserve">System Informacji o Funduszach Europejskich- Program Operacyjny Pomoc Techniczna </t>
  </si>
  <si>
    <t xml:space="preserve">Objęcie akcji zwykłych imiennych Rzeszowskiej Agencji Rozwoju Regionalnego S.A. w Rzeszowie przez Województwo Podkarpackie </t>
  </si>
  <si>
    <t>Rozwój konkurencyjnej gospodarki opartej na wiedzy oraz poprawa atrakcyjności inwestycyjnej województwa podkarpackiego w oparciu o idee innowacyjności poprzez wzmocnienie i wykorzystanie regionalnego potencjału naukowo-badawczego oraz infrastrukturalnego</t>
  </si>
  <si>
    <t xml:space="preserve">Promocja Województwa Podkarpackiego przy wykorzystaniu działalności przewoźników lotniczych, jako platformy nowoczesnego systemu  przekazywania informacji o regionie </t>
  </si>
  <si>
    <t xml:space="preserve">Promocja Województwa Podkarpackiego </t>
  </si>
  <si>
    <t xml:space="preserve">Wydatki Regionalnego Punktu Kontaktowego EWT ** </t>
  </si>
  <si>
    <t xml:space="preserve">Poręczenie kredytu długoterminowego zaciągniętego przez  Wojewódzki Szpital Podkarpacki im.  Jana Pawła II w Krośnie  w Dexia Kommunalkredit Bank S.A. z siedzibą w Warszawie. zgodnie z Uchwałą Nr XII/191/07 Sejmiku Województwa Podkarpackiego z dnia 1 października 2007 r. </t>
  </si>
  <si>
    <t xml:space="preserve">Poręczenie kredytu długoterminowego zaciągniętego przez Szpital  Wojewódzki Nr 2 im. Św. Jadwigi Królowej w Rzeszowie w Dexia Kommunalkredit Bank S.A. z siedzibą w Warszawie zgodnie z Uchwałą Nr 101/1681/08 Zarządu Województwa Podkarpackiego z dnia 19 marca 2008 r. </t>
  </si>
  <si>
    <t>Poręczenie kredytu długoterminowego w kwocie 8.000.000 zł (9.755.170 zł z odsetkami).</t>
  </si>
  <si>
    <t xml:space="preserve">Poręczenie kredytu długoterminowego w kwocie 25.000.000 zł (35.924.535 zł z odsetkami) </t>
  </si>
  <si>
    <t xml:space="preserve">Poręczenie kredytu długoterminowego zaciągniętego przez Wojewódzki Szpital im. Św. Ojca Pio w Przemyślu  w Nordea Bank Polska S.A. z siedzibą w Gdyni zgodnie z Uchwałą Nr 105/1822/08 Zarządu Województwa Podkarpackiego z dnia 16 kwietnia 2008 r. </t>
  </si>
  <si>
    <t xml:space="preserve">Poręczenie kredytu długoterminowego zaciągniętego przez Wojewódzki Szpital im. Zofii z Zamoyskich Tarnowskiej w Tarnobrzegu  w Nordea Bank Polska S.A. z siedzibą w Gdyni zgodnie z Uchwałą Nr 309/6322/10 Zarządu Województwa Podkarpackiego z dnia 31 sierpnia 2010 r. </t>
  </si>
  <si>
    <t xml:space="preserve">Poręczenie kredytu długoterminowego w kwocie 3.000.000 zł (3.232.525 zł z odsetkami). </t>
  </si>
  <si>
    <t>Poręczenie kredytu długoterminowego w kwocie 12.000.000 zł (14.543.603 zł z odsetkami).</t>
  </si>
  <si>
    <t xml:space="preserve">Poręczenie kredytu długoterminowego zaciągniętego przez Szpital  Wojewódzki Nr 2 im. Św. Jadwigi Królowej w Rzeszowie w Bank Polska Kasa Opieki S.A. z siedzibą w Warszawie zgodnie z Uchwałą Nr 309/6323/10 Zarządu Województwa Podkarpackiego z dnia 31 sierpnia 2010 r. </t>
  </si>
  <si>
    <t>Wspieranie edukacji młodzieży z województwa podkarpackiego</t>
  </si>
  <si>
    <t>Wsparcie doktorantów z województwa podkarpackiego</t>
  </si>
  <si>
    <t>Modernizacja i doposażenie Szpitala Wojewódzkiego Nr 2 w Rzeszowie na potrzeby funkcjonowania centrum urazowego</t>
  </si>
  <si>
    <t xml:space="preserve"> Zrealizowanie wymogów rozporządzenia Ministra Zdrowia z dnia 10.11.2006r.</t>
  </si>
  <si>
    <t xml:space="preserve">Wojewódzki Program Profilaktyki i Rozwiązywania Problemów Alkoholowych na lata 2007-2013 </t>
  </si>
  <si>
    <t>Przeciwdziałanie alkoholizmowi na terenie województwa podkarpackiego</t>
  </si>
  <si>
    <t xml:space="preserve">Wojewódzki Program Pomocy Społecznej </t>
  </si>
  <si>
    <t>Łagodzenie skutków ubóstwa</t>
  </si>
  <si>
    <t xml:space="preserve">Szwajcarsko Polski Program Współpracy </t>
  </si>
  <si>
    <t>Zmniejszenie różnic społeczno - gospodarczych istniejących pomiędzy Polską a wyżej rozwiniętymi państwami UE oraz różnic na terytorium Polski pomiędzy ośrodkami miejskimi a regionami słabo rozwiniętymi pod względem strukturalnym</t>
  </si>
  <si>
    <t xml:space="preserve">Wojewódzki Program Na Rzecz Wyrównywania Szans Os. Niepełn. i Przeciwdz. Ich Wykluczeniu Społ. Na lata 2008-2020 </t>
  </si>
  <si>
    <t>Wyrównywanie szans osób niepełnosprawnych</t>
  </si>
  <si>
    <t xml:space="preserve">Program Operacyjny Kapitał Ludzki - Pomoc Techniczna </t>
  </si>
  <si>
    <t>Zapewnienie prawidłowej obsługi wdrażania POKL</t>
  </si>
  <si>
    <t>Szkolenie i specjalistyczne doradztwo dla kadr instytucji pomocy społecznej działających na terenie województwa podkarpackiego</t>
  </si>
  <si>
    <t xml:space="preserve">Muzeum Polaków ratujących Żydów na Podkarpaciu im. Rodziny Ulmów w Markowej </t>
  </si>
  <si>
    <t>Muzeum Polaków ratujących Żydów na Podkarpaciu im. Rodziny Ulmów w Markowej</t>
  </si>
  <si>
    <t>Jednostka odpowiedzialna lub koordynująca</t>
  </si>
  <si>
    <t>Okres realizacji</t>
  </si>
  <si>
    <t>Klasyfikacja Dział - Rozdział</t>
  </si>
  <si>
    <t>010 - 01008</t>
  </si>
  <si>
    <t xml:space="preserve">Centrum Obsługi Inwestorów i Eksporterów w Wojew. Podkarpackim, Program Operacyjny Innowacyjna Gospodarka, Działanie 6.2 Rozwój sieci centrów obsługi inwestorów i eksporterów oraz powstanie nowych terenów inwestycyjnych </t>
  </si>
  <si>
    <t>500 - 50005</t>
  </si>
  <si>
    <t>600 - 60001</t>
  </si>
  <si>
    <t>600 - 60013</t>
  </si>
  <si>
    <t>720 - 72095</t>
  </si>
  <si>
    <t>730 - 73095</t>
  </si>
  <si>
    <t>750 - 75018</t>
  </si>
  <si>
    <t>750 - 75071</t>
  </si>
  <si>
    <t>750 - 75075</t>
  </si>
  <si>
    <t>803 - 80309</t>
  </si>
  <si>
    <t>852 - 85295</t>
  </si>
  <si>
    <t>853 - 85395</t>
  </si>
  <si>
    <t>010 - 01041</t>
  </si>
  <si>
    <t>050 - 05011</t>
  </si>
  <si>
    <t>750 - 75095</t>
  </si>
  <si>
    <t>801 - 80195</t>
  </si>
  <si>
    <t>851 - 85111</t>
  </si>
  <si>
    <t>851 - 85154</t>
  </si>
  <si>
    <t>852 - 85217</t>
  </si>
  <si>
    <t>853 - 85311</t>
  </si>
  <si>
    <t>853 - 85332</t>
  </si>
  <si>
    <t>921 - 92118</t>
  </si>
  <si>
    <t>757 - 75704</t>
  </si>
  <si>
    <t>Zaprojektowanie i budowa lewostronnego obwałowania rzeki Wisłoki w km 53+800-55+600 w miejscowościach: Zawierzbie, Żyraków, na terenie gminy Żyraków, województwo podkarpackie</t>
  </si>
  <si>
    <t xml:space="preserve"> Zapewnienie bezpieczeństwa przeciwpowodziowego na odcinku 53+800-55+600 rzeki Wisłoki w miejscowościach Zawierzbie oraz Żyraków Regionalny Program Operacyjny Województwa Podkarpackiego 2007 – 2013</t>
  </si>
  <si>
    <t xml:space="preserve">Zapewnienie ochrony przeciwpowodziowej miejscowościom położonym poniżej planowanego zbiornika suchego wzdłuż rzeki Mleczki Kańczudzkiej 
a następnie rzeki Mleczki Regionalny Program Operacyjny Województwa Podkarpackiego 2007 – 2013
</t>
  </si>
  <si>
    <t>Zaprojektowanie i budowa suchego zbiornika przeciwpowodziowego (polderu przepływowego) pn. "Kańczuga" na rzece Mleczka Kańczudzka na terenie gminy Jawornik Polski oraz miasta i gminy Kańczuga</t>
  </si>
  <si>
    <t>Zabezpieczenie ludności, mienia i gospodarki przed negatywnymi skutkami powodzi i zapewnienie trwałości projektu</t>
  </si>
  <si>
    <t>Utrzymanie sygnalizacji świetlnej na sieci dróg wojewódzkich</t>
  </si>
  <si>
    <t>2012 - 2013</t>
  </si>
  <si>
    <t>2009 - 2018</t>
  </si>
  <si>
    <t xml:space="preserve">Poręczenie kredytu długoterminowego w kwocie 25.000.000 zł (36.773.446 zł) </t>
  </si>
  <si>
    <t xml:space="preserve">Urząd Marszałkowski Województwa Podkarpackiego </t>
  </si>
  <si>
    <t>2012 - 2018</t>
  </si>
  <si>
    <t>Projekt pn. Edukacja skuteczna, przyjazna, nowoczesna - rozwój kompetencji kadry zarządzającej i pedagogicznej szkół i placówek oświatowych w województwie podkarpackim realizowanym w ramach Programu Operacyjnego Kapitał Ludzki, Priorytet IX Rozwój wykształcenia i kompetencji w regionach, działanie 9.4 Wysoko wykwalifikowane kadry systemu oświaty</t>
  </si>
  <si>
    <t>Dostosowanie kompetencji i kwalifikacji nauczycieli i kadry zarządzającej województwa podkarpackiego do wymagań nowej podstawy programowej przez przeszkolenie 5000 nauczycieli (w tym kadry zarządzającej)</t>
  </si>
  <si>
    <t>801 - 80146</t>
  </si>
  <si>
    <t>Opracowanie bazy gleb województwa podkarpackiego</t>
  </si>
  <si>
    <t>Baza gleb województwa podkarpackiego</t>
  </si>
  <si>
    <t>710 - 71013</t>
  </si>
  <si>
    <t>Inne</t>
  </si>
  <si>
    <t>Dostawy i usługi na rzecz Urzędu Marszałkowskiego Województwa Podkarpackiego</t>
  </si>
  <si>
    <t xml:space="preserve">Zabezpieczenie środków dla zapewnienia ciągłości działania jednostki </t>
  </si>
  <si>
    <t>010 - 01008 010 - 01078</t>
  </si>
  <si>
    <t>Łączne nakłady finansowe (ujęte w WPF)</t>
  </si>
  <si>
    <t>Poprawa powiązań komunikacyjnych i systemu komunikacji publicznej w województwie</t>
  </si>
  <si>
    <t>Odbudowa mostu na ulicy                             3 Maja w Ropczycach</t>
  </si>
  <si>
    <t>Poręczenie kredytu długoterminowego wraz z odsetkami zaciągniętego przez Wojewódzki Szpital im. Zofii z Zamoyskich Tarnowskiej w Tarnobrzegu  w Nordea Bank Polska S.A. z siedzibą w Gdyni zgodnie z Uchwałą Nr 68/1532/11 Zarządu Województwa Podkarpackiego z dnia 17 sierpnia 2011 r.</t>
  </si>
  <si>
    <t>Poręczenie kredytu długoterminowego w kwocie 2.000.000 zł (2.258.075 zł z odsetkami).</t>
  </si>
  <si>
    <t>"Zakup taboru kolejowego do obsługi połączeń międzywojewódzkich realizowanych przez województwa: małopolskie, podkarpackie, śląskie, świętokrzyskie", POIiŚ na lata 2007-2013 Działanie 7.1 Rozwój Transportu Kolejowego</t>
  </si>
  <si>
    <t>b-gw</t>
  </si>
  <si>
    <t>gw</t>
  </si>
  <si>
    <t>"Zakup pojazdów szynowych na potrzeby kolejowych przewozów osób w województwie podkarpackim", RPO WP na lata 2007-2013, Działanie 2.1 Infrastruktura komunikacyjna Schemat E: Infrastruktura kolejowa</t>
  </si>
  <si>
    <t>Budowa drogi obwodowej Mielca w ciągu drogi wojewódzkiej nr 985 Nagnajów - Dębica przebiegającej od miejscowości Tuszów Narodowy w km 20+636 do ulicy Dębickiej w km 38+522 wraz z niezbędną infrastrukturą techniczną, budowlami i urządzeniami budowlanymi</t>
  </si>
  <si>
    <t>2012 - 2014</t>
  </si>
  <si>
    <t>Dostawy i usługi na rzecz  Podkarpackiego Zarządu Melioracji i Urządzeń Wodnych w Rzeszowie</t>
  </si>
  <si>
    <t>010 - 01006 010 - 01008</t>
  </si>
  <si>
    <t>2012 - 2015</t>
  </si>
  <si>
    <t>150 - 15095</t>
  </si>
  <si>
    <t>Podkarpackie Obserwatorium Rynku Pracy</t>
  </si>
  <si>
    <t>Zwiększenie do końca 2013 r. poziomu wiedzy na temat trendów rozwojowych i sytuacji na rynku pracy wśród decydentów i pracowników podmiotów zajmujących się problematyką rynku pracy. Program Operacyjny Kapitał Ludzki, Poddziałanie 8.1.4</t>
  </si>
  <si>
    <t xml:space="preserve"> </t>
  </si>
  <si>
    <t xml:space="preserve">Podkarpacki Zarząd Melioracji i Urządzeń Wodnych </t>
  </si>
  <si>
    <t xml:space="preserve">Podkarpacki Zarząd Melioracji i Urządzeń Wodnych 
</t>
  </si>
  <si>
    <t xml:space="preserve">Podkarpaci Zarząd Melioracji i Urządzeń Wodnych </t>
  </si>
  <si>
    <t xml:space="preserve">Podkarpacki Zarząd Dróg Wojewódzkich w Rzeszowie </t>
  </si>
  <si>
    <t>Urząd Marszałkowski Województwa Podkarpackiego</t>
  </si>
  <si>
    <t xml:space="preserve">Podkarpackie Centrum Edukacji Nauczycieli w Rzeszowie </t>
  </si>
  <si>
    <t>Podkarpacki Zarząd Melioracji i Urządzeń Wodnych w Rzeszowie</t>
  </si>
  <si>
    <t xml:space="preserve">Wojewódzki Ośrodek Dokumentacji Geodezyjnej i Kartograficznej w Rzeszowie </t>
  </si>
  <si>
    <t xml:space="preserve">Muzeum-Zamek w Łańcucie </t>
  </si>
  <si>
    <t xml:space="preserve">150 - 15011     150 - 15013             801 - 80146     801 - 80195            852 - 85218     852 - 85219       852 - 85295       853 - 85395  854 -85415      854 -85495     </t>
  </si>
  <si>
    <t>Projekt pn.Podkarpacki fundusz stypendialny dla doktorantów realizowany w ramach Programu Operacyjnego Kapitał Ludzki Priorytet VIII Regionalne kadry gospodarki działanie 8.2 - Transfer wiedzy , poddziałanie 8.2.2 - Regionalne Strategie Innowacji</t>
  </si>
  <si>
    <t>Rozbudowa drogi wojewódzkiej Nr 869 łączącej węzeł A-4 Rzeszów Zachodni z węzłem S-19 Jasionka, połączonej w sposób bezkolizyjny z istniejącymi drogami krajowymi Nr 9 Radom - Barwinek i Nr 19 Kuźnica - Rzeszów i linią kolejową L-71</t>
  </si>
  <si>
    <t>Poprawa dostępności i jakości podróżowania</t>
  </si>
  <si>
    <t>Opracowanie koncepcji rozbudowy drogi wojewódzkiej Nr 988 Babica - Warzyce na odc. Babica - Twierdza</t>
  </si>
  <si>
    <t>Opracowanie dokumentacji projektowych i uzyskanie decyzji o zezwoleniu na realizację inwestycji drogowych</t>
  </si>
  <si>
    <t xml:space="preserve">Zakup pojazdów szynowych </t>
  </si>
  <si>
    <t>Zakup pojazdów szynowych na potrzeby kolejowych przewozów pasażerskich - poprawa dostępności i jakości podróżowania</t>
  </si>
  <si>
    <t>Rekompensata należna przewoźnikowi z tytułu wykonywania kolejowych przewozów osób - w ramach użyteczności publicznej</t>
  </si>
  <si>
    <t>Budowa Centrum Wystawienniczo - Kongresowego Województwa Podkarpackiego</t>
  </si>
  <si>
    <t xml:space="preserve">Dostawy i usługi na rzecz Medycznej Szkoły Policealnej im.prof.Rudolfa Weigla w Jaśle </t>
  </si>
  <si>
    <t xml:space="preserve">Medyczna Szkoła Policealna im.prof.Rudolfa Weigla w Jaśle </t>
  </si>
  <si>
    <t>2012-2013</t>
  </si>
  <si>
    <t>801-80130</t>
  </si>
  <si>
    <t xml:space="preserve">Dostawy i usługi na rzecz Medycznej Szkoły Policealnej im.Anny Jenke w Sanoku </t>
  </si>
  <si>
    <t>Medyczna Szkoła Policealna im.Anny Jenke w Sanoku</t>
  </si>
  <si>
    <t>2012-2014</t>
  </si>
  <si>
    <t xml:space="preserve">Dostawy i usługi na rzecz Medycznej Szkoły Policealnej  w Mielcu </t>
  </si>
  <si>
    <t>Medyczna Szkoła Policealna w Mielcu</t>
  </si>
  <si>
    <t xml:space="preserve">Dostawy i usługi na rzecz Medycznej Szkoły Policealnej  w Rzeszowie </t>
  </si>
  <si>
    <t>Medyczna Szkoła Policealna w Rzeszowie</t>
  </si>
  <si>
    <t xml:space="preserve">Dostawy i usługi na rzecz Kolegium Nauczycielskiego im.A.Fredry w Przemyślu </t>
  </si>
  <si>
    <t xml:space="preserve">Kolegium Nauczycielskie im.A.Fredry 
w Przemyślu </t>
  </si>
  <si>
    <t>801-80141</t>
  </si>
  <si>
    <t xml:space="preserve">Dostawy i usługi na rzecz Nauczycielskiego Kolegium Języków Obcych 
 w Nisku </t>
  </si>
  <si>
    <t xml:space="preserve">Nauczycielskie Kolegium Języków Obcych 
 w Nisku </t>
  </si>
  <si>
    <t xml:space="preserve">Dostawy i usługi na rzecz Nauczycielskiego Kolegium Języków Obcych 
 w Przemyślu </t>
  </si>
  <si>
    <t xml:space="preserve">Nauczycielskie Kolegium Języków Obcych 
 w Przemyślu </t>
  </si>
  <si>
    <t xml:space="preserve">Dostawy i usługi na rzecz Nauczycielskiego Kolegium Języków Obcych 
 w Rzeszowie </t>
  </si>
  <si>
    <t xml:space="preserve"> Nauczycielskie Kolegium Języków Obcych 
 w Rzeszowie </t>
  </si>
  <si>
    <t>2012-2015</t>
  </si>
  <si>
    <t xml:space="preserve">Dostawy i usługi na rzecz Nauczycielskiego Kolegium Języków Obcych 
 w Leżajsku </t>
  </si>
  <si>
    <t xml:space="preserve">Nauczycielskie Kolegium Języków Obcych 
 w Leżajsku </t>
  </si>
  <si>
    <t xml:space="preserve">Dostawy i usługi na rzecz Podkarpackiego Centrum Edukacji Nauczycieli  w Rzeszowie </t>
  </si>
  <si>
    <t>Podkarpackie Centrum Edukacji Nauczycieli  
w Rzeszowie</t>
  </si>
  <si>
    <t>801-80146</t>
  </si>
  <si>
    <t xml:space="preserve">Dostawy i usługi na rzecz Pedagogicznej Biblioteki Wojewódzkiej w Krośnie  </t>
  </si>
  <si>
    <t xml:space="preserve">Pedagogiczna Biblioteka Wojewódzka
w Krośnie </t>
  </si>
  <si>
    <t>801-80147</t>
  </si>
  <si>
    <t xml:space="preserve">Dostawy i usługi na rzecz Pedagogicznej Biblioteki Wojewódzkiej im.J.G.Pawlikowskiego w Przemyślu </t>
  </si>
  <si>
    <t xml:space="preserve">Pedagogiczna Biblioteka Wojewódzka im.J.G.Pawlikowskiego w Przemyślu </t>
  </si>
  <si>
    <t>Dostawy i usługi na rzecz  Biblioteki Pedagogicznej w Tarnobrzegu</t>
  </si>
  <si>
    <t>801-80130 854-85410</t>
  </si>
  <si>
    <t>Projekt 1031 R4 TOURAGE</t>
  </si>
  <si>
    <t>Wzmocnienie regionalnych gospodarek poprzez rozwój turystyki seniorów oraz wsparcie dla rozwiązań umożliwiających aktywne i zdrowe starzenie się, poprzez wymianę dobrych praktyk i doświadczeń pomiędzy regionami partnerskimi</t>
  </si>
  <si>
    <t>Podkarpackie Biuro Geodezji i Terenów Rolnych w Rzeszowie</t>
  </si>
  <si>
    <t>010 - 01004</t>
  </si>
  <si>
    <t>1b</t>
  </si>
  <si>
    <t>Przebudowa i remont instalacji w budynku biurowym przy ulicy Targowej 1 w Rzeszowie</t>
  </si>
  <si>
    <t>Wyposażenie budynku biurowego w system sygnalizacji pożaru, dźwiękowy system ostrzegawczy, oraz instalację wodociągową przeciwpożarową z hydrantami. Wymiana przewodów elektrycznych na miedziane i wymiana innych urządzeń zabezpieczających</t>
  </si>
  <si>
    <t>prz ogółem</t>
  </si>
  <si>
    <t>b</t>
  </si>
  <si>
    <t>m</t>
  </si>
  <si>
    <t>prz ogołem</t>
  </si>
  <si>
    <t>Utrzymanie urządzeń melioracji wodnych podstawowych</t>
  </si>
  <si>
    <t xml:space="preserve">Zabezpieczenie ludności, mienia i gospodarki przed negatywnymi skutkami powodzi </t>
  </si>
  <si>
    <t>"Budowa prawobrzeżnego wału przeciwpowodziowego na rzece Ropie w km 2+850 - 3+210 o długości 360 m w m. Jasło, woj. podkarpackie''. Zadanie ujęte w ramach zlewni: Ochrona przed powodzią w zlewni Wisłoki, w tym budowa zbiorników retencyjnych Kąty - Myscowa oraz Dukla</t>
  </si>
  <si>
    <t>Przygotowanie dokumentacji i terenu pod inwestycje - teren województwa podkarpackiego. Zadanie ujęte w ramach zlewni: Zabezpieczenie przez zagrożeniem powodziowym doliny Wisły na odcinku od ujścia Wisłoki do ujścia Sanny</t>
  </si>
  <si>
    <t>Opracowanie dokumentacji projektowych m.in.projektów budowlano - wykonawczych oraz innych niezbędnych dokumentacji, wykup nieruchomości gruntowych.</t>
  </si>
  <si>
    <t xml:space="preserve">010 - 01008      010 - 01078      010 - 01095        710 - 71095 </t>
  </si>
  <si>
    <t>010 - 01008      010 - 01078</t>
  </si>
  <si>
    <t>010 - 01008    010 - 01078</t>
  </si>
  <si>
    <t>2002 - 2013</t>
  </si>
  <si>
    <t>Kompleksowa modernizacja, odnowa i ochrona budynku Centrum Kulturalnego w Przemyślu - wojewódzkiej instytucji kultury (II część)</t>
  </si>
  <si>
    <t>Celem projektu jest poprawa bazy lokalowej i wyposażenia Centrum Kulturalnego w Przemyślu, odnowa i ochrona budynku wpisanego do rejestru zabytków, udostępnienie budynku dla osób niepełnosprawnych oraz poprawa wydajności energetycznej budynku</t>
  </si>
  <si>
    <t>Centrum Kulturalne w Przemyślu</t>
  </si>
  <si>
    <t>2008 -2013</t>
  </si>
  <si>
    <t>921 - 92109</t>
  </si>
  <si>
    <t>Poręczenie kredytu długoterminowego w kwocie 330.000 zł (396.855 zł z odsetkami).</t>
  </si>
  <si>
    <t>Podkarpacka Agencja Energetyczna Sp. z o.o. w Rzeszowie</t>
  </si>
  <si>
    <t>Program Operacyjny Kapitał Ludzki, Priorytety VI-IX (z wyłączeniem projektu własnego WUP w ramach Poddziałania 8.1.4 PO KL oraz działania 9.2 PO KL)</t>
  </si>
  <si>
    <t>2009 - 2014</t>
  </si>
  <si>
    <t>Trasy rowerowe w Polsce Wschodniej</t>
  </si>
  <si>
    <t>Kompleksowy projekt zakładający utworzenie ponadregionalnej trasy rowerowej w pięciu województwach Polski Wschodniej</t>
  </si>
  <si>
    <t>2013 - 2014</t>
  </si>
  <si>
    <t>"Podkarpacie stawia na zawodowców" - Projekt systemowy</t>
  </si>
  <si>
    <t>Wzmocnienie atrakcyjności i podniesienie jakości oferty edukacyjnej szkół i placówek oświatowych prowadzących kształcenie zawodowe (z wyłączeniem kształcenia osób dorosłych), służące podniesieniu zdolności uczniów do przyszłego zatrudnienia</t>
  </si>
  <si>
    <t>Sporządzenie Wojewódzkiego Programu Rozwoju Odnawialnych Źródeł Energii dla Województwa Podkarpackiego</t>
  </si>
  <si>
    <t>Ułatwienie inwestorom realizacji działań z zakresu energetyki odnawialnej poprzez wskazanie obszarów o korzystnych warunkach dla poszczególnych typów inwestycji, z podaniem ograniczeń jakie są związane z danymi lokalizacjami</t>
  </si>
  <si>
    <t>900 - 90005</t>
  </si>
  <si>
    <t>Wojewódzki Ośrodek Dokumentacji Geodezyjnej i Kartograficznej w Rzeszowie</t>
  </si>
  <si>
    <t>710 - 71012</t>
  </si>
  <si>
    <t>Studium wykonalności dla zadania "Budowa połączenia kolejowego do Portu Lotniczego Rzeszów - Jasionka"</t>
  </si>
  <si>
    <t>Poprawa dostępności i jakości podróżwoania</t>
  </si>
  <si>
    <t>2012 -2013</t>
  </si>
  <si>
    <t>600 - 60002</t>
  </si>
  <si>
    <t>2012 - 2017</t>
  </si>
  <si>
    <t>Projekt 1130 R4 MOG</t>
  </si>
  <si>
    <t>Stworzenie dokumentu "przewodnika" odnoszącego się do problematyki zrównoważonego transportu na obszarach wiejskich</t>
  </si>
  <si>
    <t>Rozbudowa i modernizacja Szpitala Wojewódzkiego Nr 2 w Rzeszowie</t>
  </si>
  <si>
    <t>Zabezpieczenie potrzeb w zakresie rehabilitacji dzieci i młodzieży oraz dostosowanie obiektów do wymagań zgodnie z Rozporządzeniem Ministra Zdrowia z dnia 2 lutego 2011 r.</t>
  </si>
  <si>
    <t>2007 - 2013</t>
  </si>
  <si>
    <t>Dostawy i usługi na rzecz Wojewódzkiego Ośrodka Dokumentacji Geodezyjnej i Kartograficznej w Rzeszowie</t>
  </si>
  <si>
    <t>Promocja gospodarcza i turystyczna Województwa Podkarpackiego za pośrednictwem przewoźnika lotniczego w Europie</t>
  </si>
  <si>
    <t>Dostawy i usługi na rzecz Wojewódzkiego Urzędu Pracy w Rzeszowie</t>
  </si>
  <si>
    <t xml:space="preserve">Poręczenie kredytu długoterminowego wraz z odsetkami zaciągniętego przez Podkarpacką Agencję Energetyczną Sp. z o.o w Rzeszowie </t>
  </si>
  <si>
    <t>630 - 63095</t>
  </si>
  <si>
    <t>Realizacja zadania polegająca na prowadzeniu Głównego Punktu Informacyjnego przy Urzędzie Marszałkowskim Województwa Podkarpackiego oraz koordynacja, promocja, monitoring, kontrola oraz ocena działalności sieci Lokalnych Punktów Informacyjnych -Program Operacyjny Pomoc Techniczna</t>
  </si>
  <si>
    <t>Stworzenie szans na lepsze planowanie polityk i strategii rozwiązywania problemów alkoholowych</t>
  </si>
  <si>
    <t>Funkcjonowanie centrum jako ośrodka wspomagającego wdrażanie programów i projektów służących wzrostowi konkurencyjności i atrakcyjności regionów Polski Wschodniej</t>
  </si>
  <si>
    <t>Współpraca transgraniczna: Polska-Ukraina-Białoruś oraz Polska-Republika Słowacka</t>
  </si>
  <si>
    <t xml:space="preserve">Pogram wspierania edukacji uzdolnionej młodzieży "Nie zagubić talentu" - stypendia. </t>
  </si>
  <si>
    <t>Biblioteka Pedagogiczna w Tarnobrzegu</t>
  </si>
  <si>
    <t>Przygotowanie i realizacja budowy łącznika drogi woj. Nr 835 Lublin - gr. Woj. - Przeworsk - Kańczuga - Dynów - Grabownica Starzeńska</t>
  </si>
  <si>
    <t xml:space="preserve">Remonty cząstkowe nawierzchni dróg wojewódzkich </t>
  </si>
  <si>
    <t>Wisłoka I - modernizacja przeciwfiltracyjne zabezpieczenie prawego obwałowania rzeki Wisłoki w km 8+800-16+074 wraz z budową dróg przywałowych w miejscowości Chrząstów - Złotniki gm. Mielec i w m. Brzyście gm. Gawłuszowice woj. podkarpackie. Zadanie ujęte w ramach zlewni: Ochrona przed powodzią w zlewni Wisłoki, w tym budowa zbiorników retencyjnych Kąty - Myscowa oraz Dukla</t>
  </si>
  <si>
    <t>Ochrona przeciwpowodziowa terenów położonych w zlewni rzeki Wisłoki Program Operacyjny Infrastruktura i Środowisko 2007 - 2013</t>
  </si>
  <si>
    <t>2006 - 2013</t>
  </si>
  <si>
    <t xml:space="preserve">Wisłoka II - budowa prawostronnego obwałowania rzeki Wisłoki w km 16+074-19+900 wraz z budową ciągów komunikacyjnych na koronie wału, technicznie powiązanych z budową wałów na terenie miasta Mielca, woj. podkarpackie. Zadanie ujęte w ramach zlewni: Ochrona przed powodzią w zlewni Wisłoki, w tym budowa zbiorników retencyjnych Kąty - Myscowa oraz Dukla </t>
  </si>
  <si>
    <t xml:space="preserve">           </t>
  </si>
  <si>
    <t xml:space="preserve">Obserwatorium Integracji Społecznej </t>
  </si>
  <si>
    <t>Projekt pn.Program stypendialny dla uczniów szczególnie uzdolnionych z terenu województwa podkarpackiego w roku szkolnym 2012/2013 realizowany w ramach Programu Operacyjnego Kapitał Ludzki, Priorytet IX Rozwój wykształcenia i kompetencji w regionach, działanie 9.1 Wyrównywanie szan edukacyjnych i zapewnienie wysokiej jakości usług edukacyjnych świadczonych w systemie oświaty, poddziałanie 9.1.3 Pomoc stypendialna dla uczniów szczególnie uzdolnionych</t>
  </si>
  <si>
    <t>Wypłata stypendiów dla uczniów</t>
  </si>
  <si>
    <t>854 - 85415</t>
  </si>
  <si>
    <t>Rozbudowa lewostronnego obwałowania rzeki Wisłoki w km 119+309-120+125 na terenie Osieka Jasielskiego. 
Zadanie ujęte w ramach zlewni: Ochrona przed powodzią w zlewni Wisłoki, w tym budowa zbiorników retencyjnych Kąty - Myscowa oraz Dukla</t>
  </si>
  <si>
    <t>Rozbudowa lewostronnego obwałowania rzeki Wisłoki na łącznej dł. 0,72 km oraz zabezpieczenie ludności, mienia i gospodarki przed negatywnymi skutkami powodzi i zapewnienie trwałości projektu</t>
  </si>
  <si>
    <t xml:space="preserve">010 - 01008      010 - 01078      </t>
  </si>
  <si>
    <t xml:space="preserve">Ubezpieczenie pojazdów szynowych </t>
  </si>
  <si>
    <t>Ubezpieczenie pojazdów szynowych stanowiących mienie województwa</t>
  </si>
  <si>
    <t>Analiza sytuacji rynkowej w krajowym transporcie drogowym</t>
  </si>
  <si>
    <t>Wykonanie ustawy o krajowym transporcie drogowym</t>
  </si>
  <si>
    <t>600 - 60004</t>
  </si>
  <si>
    <t>Tworzenie opracowań kartograficznych na podstawie bazy danych obiektów topograficznych (BDOT10k) z terenu województwa podkarpackiego</t>
  </si>
  <si>
    <t>Mapy topograficzne dla obszaru województwa podkarpackiego</t>
  </si>
  <si>
    <t>2012- 2015</t>
  </si>
  <si>
    <t>Dostawy i usługi na rzecz Podkarpackiego Biura Planowania Przestrzennego  w Rzeszowie</t>
  </si>
  <si>
    <t>Podkarpackie Biuro Planowania Przestrzennego w Rzeszowie</t>
  </si>
  <si>
    <t>710 - 71003</t>
  </si>
  <si>
    <t>Załącznik Nr 2 do Uchwały Nr ……/……./                     
Sejmiku Województwa Podkarpackiego
 z dnia…………………………..r.</t>
  </si>
  <si>
    <t xml:space="preserve">Utrzymanie zespołów trakcyjnych </t>
  </si>
  <si>
    <t>2013 - 2017</t>
  </si>
  <si>
    <t xml:space="preserve">Utrzymanie zespołów trakcyjnych POliŚ </t>
  </si>
  <si>
    <t>2015 - 2020</t>
  </si>
  <si>
    <t xml:space="preserve"> Budowa 1 zbiornika retencyjnego w Borowej Górze. Zabezpieczenie ludności, mienia i gospodarki przed negatywnymi skutkami powodzi i zapewnienie trwałości projektu. 
Program Rozwoju Obszarów Wiejskich</t>
  </si>
  <si>
    <t>2010 - 2014</t>
  </si>
  <si>
    <t xml:space="preserve">Rozbudowa (2,732 km) i budowa obustronnego obwałowania  lewego wału rzeki Wisłoki na dł. 0,42 km. Zabezpieczenie ludności, mienia i gospodarki przed negatywnymi skutkami powodzi i zapewnienie trwałości projektu. Program Rozwoju Obszarów Wiejskich
</t>
  </si>
  <si>
    <t xml:space="preserve">010 - 01008    </t>
  </si>
  <si>
    <t>"Odbudowa potoku Lubcza w km 2+640-6+675 na długości 4,035 km oraz udrożnienie koryta potoku Lubcza w rejonie 4 stopni betonowych w km 0+400; 1+280; 7+050; 7+700 w mieście Rzeszów – Zwięczyca II, oraz w miejscowościach: Racławówka, Niechobrz, Boguchwała, gm. Boguchwała, woj. podkarpackie".  Zadanie ujęte w ramach zlewni: Ochrona przed powodzią w zlewni rzeki Wisłok, w tym budowa zbiornika retencyjnego Rudawka Rymanowska i zabezpieczenie przed powodzią miasta Krosno</t>
  </si>
  <si>
    <t>Odbudowa na dł. 4,035 km. i udrożnienie koryta potoku Lubcza w rejonie 4 stopni betonowych. Zabezpieczenie ludności, mienia i gospodarki przed negatywnymi skutkami powodzi i zapewnienie trwałości projektu. Program Rozwoju Obszarów Wiejskich</t>
  </si>
  <si>
    <t>2006 - 2014</t>
  </si>
  <si>
    <t>Rozbudowa i przeciwfiltracyjne zabezpieczenie prawego wału rzeki Nowy Breń na dł. 1,832 km. Zabezpieczenie ludności, mienia i gospodarki przed negatywnymi skutkami powodzi i zapewnienie trwałości projektu. Program Rozwoju Obszarów Wiejskich</t>
  </si>
  <si>
    <t xml:space="preserve">"San I Etap I - rozbudowa i przeciwfiltracyjne zabezpieczenie prawego wału rzeki San w km 2+215 - 9+417, na długości 7,202 km, na terenie gminy Radomyśl nad Sanem, woj. podkarpackie". Zadanie ujęte w ramach zlewni: Zabezpieczenie przed zagrożeniem powodziowym doliny Wisły na odcinku od ujścia Wisłoki do ujścia Sanny </t>
  </si>
  <si>
    <t>Rozbudowa i przeciwfiltracyjne zabezpieczenie prawego wału rzeki San na dł. 7,202 km. Zabezpieczenie ludności, mienia i gospodarki przed negatywnymi skutkami powodzi i zapewnienie trwałości projektu. Program Rozwoju Obszarów Wiejskich</t>
  </si>
  <si>
    <t>Naprawy uszkodzonych autobusów szynowych</t>
  </si>
  <si>
    <t>Przywrócenie sprawności eksploatacyjnej pojazdów</t>
  </si>
  <si>
    <t>szynobusy</t>
  </si>
  <si>
    <t>róznica</t>
  </si>
  <si>
    <t xml:space="preserve"> "Nowy Breń II - rozbudowa i przeciwfiltracyjne zabezpieczenie prawego wału rzeki Nowy Breń w km 2+487-4+319, na długości 1,832 km w miejscowościach: Słupiec, Ziempniów i Otałęż".  
Zadanie ujęte w ramach zlewni: Zabezpieczenie przed zagrożeniem powodziowym doliny Wisły na odcinku od ujścia Dunajca do ujścia Wisłoki</t>
  </si>
  <si>
    <t>"Wisłoka – Boża Wola – rozbudowa lewego wału Wisłoki w km 4+115 -6+737 oraz w km 0+000-0+230 wraz z budową obustronnych wałów cofkowych na potoku Kiełkowskim o długości 150 m". Zadanie ujęte w ramach zlewni: Ochrona przed powodzią w zlewni Wisłoki, w tym budowa zbiorników retencyjnych Kąty-Myscowa oraz Dukla</t>
  </si>
  <si>
    <t>Budowa zbiornika retencyjnego w miejscowości Borowa Góra, woj. podkarpackie</t>
  </si>
  <si>
    <t>Utrzymanie urządzeń  melioracji wodnych podstawowych - rzek Szuwarka - Gołębiówka i Świerkowiec</t>
  </si>
  <si>
    <t>150 - 15011  400 - 40001  400 - 40003  400 - 40095
720 - 72095 750 - 75095    851 - 85115
803 - 80306 921 - 92120 921 - 92195
926 - 92695</t>
  </si>
  <si>
    <t>wb -gw</t>
  </si>
</sst>
</file>

<file path=xl/styles.xml><?xml version="1.0" encoding="utf-8"?>
<styleSheet xmlns="http://schemas.openxmlformats.org/spreadsheetml/2006/main">
  <numFmts count="1">
    <numFmt numFmtId="43" formatCode="_-* #,##0.00\ _z_ł_-;\-* #,##0.00\ _z_ł_-;_-* &quot;-&quot;??\ _z_ł_-;_-@_-"/>
  </numFmts>
  <fonts count="19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.45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charset val="238"/>
    </font>
    <font>
      <sz val="10"/>
      <name val="Arial"/>
      <family val="2"/>
      <charset val="238"/>
    </font>
    <font>
      <sz val="11"/>
      <color rgb="FFFF0000"/>
      <name val="Czcionka tekstu podstawowego"/>
      <family val="2"/>
      <charset val="238"/>
    </font>
    <font>
      <sz val="11"/>
      <name val="Czcionka tekstu podstawowego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CFF"/>
        <bgColor indexed="64"/>
      </patternFill>
    </fill>
  </fills>
  <borders count="2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11">
    <xf numFmtId="0" fontId="0" fillId="0" borderId="0"/>
    <xf numFmtId="43" fontId="6" fillId="0" borderId="0" applyFont="0" applyFill="0" applyBorder="0" applyAlignment="0" applyProtection="0"/>
    <xf numFmtId="0" fontId="14" fillId="0" borderId="0"/>
    <xf numFmtId="0" fontId="15" fillId="0" borderId="0"/>
    <xf numFmtId="0" fontId="16" fillId="0" borderId="0"/>
    <xf numFmtId="0" fontId="8" fillId="0" borderId="0"/>
    <xf numFmtId="0" fontId="15" fillId="0" borderId="0"/>
    <xf numFmtId="0" fontId="15" fillId="0" borderId="0"/>
    <xf numFmtId="0" fontId="8" fillId="0" borderId="0"/>
    <xf numFmtId="0" fontId="14" fillId="0" borderId="0"/>
    <xf numFmtId="0" fontId="15" fillId="0" borderId="0"/>
  </cellStyleXfs>
  <cellXfs count="289">
    <xf numFmtId="0" fontId="0" fillId="0" borderId="0" xfId="0"/>
    <xf numFmtId="3" fontId="0" fillId="0" borderId="0" xfId="0" applyNumberFormat="1"/>
    <xf numFmtId="3" fontId="0" fillId="0" borderId="4" xfId="0" applyNumberFormat="1" applyBorder="1"/>
    <xf numFmtId="3" fontId="7" fillId="0" borderId="4" xfId="1" applyNumberFormat="1" applyFont="1" applyBorder="1" applyAlignment="1">
      <alignment vertical="center"/>
    </xf>
    <xf numFmtId="0" fontId="8" fillId="0" borderId="1" xfId="0" applyFont="1" applyBorder="1" applyAlignment="1">
      <alignment horizontal="center" wrapText="1"/>
    </xf>
    <xf numFmtId="0" fontId="8" fillId="0" borderId="4" xfId="0" applyFont="1" applyBorder="1"/>
    <xf numFmtId="3" fontId="8" fillId="0" borderId="4" xfId="0" applyNumberFormat="1" applyFont="1" applyBorder="1"/>
    <xf numFmtId="3" fontId="8" fillId="0" borderId="4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3" fontId="0" fillId="0" borderId="4" xfId="0" applyNumberFormat="1" applyBorder="1" applyAlignment="1">
      <alignment horizontal="center" vertical="center" wrapText="1"/>
    </xf>
    <xf numFmtId="3" fontId="8" fillId="0" borderId="6" xfId="0" applyNumberFormat="1" applyFont="1" applyBorder="1"/>
    <xf numFmtId="3" fontId="7" fillId="0" borderId="6" xfId="1" applyNumberFormat="1" applyFont="1" applyBorder="1" applyAlignment="1">
      <alignment vertical="center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8" xfId="0" applyFont="1" applyBorder="1"/>
    <xf numFmtId="0" fontId="0" fillId="0" borderId="0" xfId="0" applyAlignment="1">
      <alignment wrapText="1"/>
    </xf>
    <xf numFmtId="0" fontId="8" fillId="0" borderId="4" xfId="0" applyFont="1" applyBorder="1" applyAlignment="1">
      <alignment wrapText="1"/>
    </xf>
    <xf numFmtId="0" fontId="8" fillId="0" borderId="4" xfId="0" applyFont="1" applyFill="1" applyBorder="1" applyAlignment="1">
      <alignment wrapText="1"/>
    </xf>
    <xf numFmtId="0" fontId="0" fillId="0" borderId="0" xfId="0" applyFill="1"/>
    <xf numFmtId="0" fontId="8" fillId="0" borderId="8" xfId="0" applyFont="1" applyBorder="1" applyAlignment="1"/>
    <xf numFmtId="0" fontId="8" fillId="0" borderId="4" xfId="0" applyFont="1" applyBorder="1" applyAlignment="1">
      <alignment vertical="center"/>
    </xf>
    <xf numFmtId="0" fontId="10" fillId="0" borderId="13" xfId="0" applyFont="1" applyBorder="1" applyAlignment="1">
      <alignment wrapText="1"/>
    </xf>
    <xf numFmtId="0" fontId="10" fillId="0" borderId="14" xfId="0" applyFont="1" applyBorder="1" applyAlignment="1">
      <alignment wrapText="1"/>
    </xf>
    <xf numFmtId="0" fontId="8" fillId="0" borderId="8" xfId="0" applyFont="1" applyBorder="1" applyAlignment="1">
      <alignment vertical="center"/>
    </xf>
    <xf numFmtId="0" fontId="8" fillId="2" borderId="4" xfId="0" applyFont="1" applyFill="1" applyBorder="1"/>
    <xf numFmtId="3" fontId="8" fillId="2" borderId="4" xfId="0" applyNumberFormat="1" applyFont="1" applyFill="1" applyBorder="1"/>
    <xf numFmtId="0" fontId="0" fillId="2" borderId="0" xfId="0" applyFill="1"/>
    <xf numFmtId="0" fontId="8" fillId="2" borderId="4" xfId="0" applyFont="1" applyFill="1" applyBorder="1" applyAlignment="1">
      <alignment wrapText="1"/>
    </xf>
    <xf numFmtId="3" fontId="0" fillId="2" borderId="4" xfId="0" applyNumberFormat="1" applyFill="1" applyBorder="1"/>
    <xf numFmtId="0" fontId="8" fillId="2" borderId="4" xfId="0" applyFont="1" applyFill="1" applyBorder="1" applyAlignment="1">
      <alignment horizontal="center" vertical="center" wrapText="1"/>
    </xf>
    <xf numFmtId="0" fontId="8" fillId="2" borderId="4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0" fontId="0" fillId="2" borderId="4" xfId="0" applyFill="1" applyBorder="1"/>
    <xf numFmtId="0" fontId="0" fillId="2" borderId="4" xfId="0" applyFill="1" applyBorder="1" applyAlignment="1">
      <alignment wrapText="1"/>
    </xf>
    <xf numFmtId="0" fontId="8" fillId="3" borderId="4" xfId="0" applyFont="1" applyFill="1" applyBorder="1"/>
    <xf numFmtId="0" fontId="0" fillId="3" borderId="0" xfId="0" applyFill="1"/>
    <xf numFmtId="0" fontId="8" fillId="4" borderId="4" xfId="0" applyFont="1" applyFill="1" applyBorder="1"/>
    <xf numFmtId="3" fontId="8" fillId="4" borderId="4" xfId="0" applyNumberFormat="1" applyFont="1" applyFill="1" applyBorder="1"/>
    <xf numFmtId="0" fontId="0" fillId="4" borderId="0" xfId="0" applyFill="1"/>
    <xf numFmtId="3" fontId="0" fillId="3" borderId="4" xfId="0" applyNumberFormat="1" applyFill="1" applyBorder="1"/>
    <xf numFmtId="0" fontId="8" fillId="5" borderId="5" xfId="0" applyFont="1" applyFill="1" applyBorder="1"/>
    <xf numFmtId="3" fontId="8" fillId="5" borderId="5" xfId="0" applyNumberFormat="1" applyFont="1" applyFill="1" applyBorder="1"/>
    <xf numFmtId="0" fontId="0" fillId="5" borderId="0" xfId="0" applyFill="1"/>
    <xf numFmtId="0" fontId="8" fillId="5" borderId="8" xfId="0" applyFont="1" applyFill="1" applyBorder="1" applyAlignment="1"/>
    <xf numFmtId="0" fontId="8" fillId="5" borderId="8" xfId="0" applyFont="1" applyFill="1" applyBorder="1"/>
    <xf numFmtId="0" fontId="8" fillId="0" borderId="4" xfId="0" applyFont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5" borderId="4" xfId="0" applyFont="1" applyFill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7" fillId="0" borderId="24" xfId="0" applyFont="1" applyBorder="1" applyAlignment="1">
      <alignment vertical="center" wrapText="1"/>
    </xf>
    <xf numFmtId="3" fontId="8" fillId="4" borderId="4" xfId="0" applyNumberFormat="1" applyFont="1" applyFill="1" applyBorder="1" applyAlignment="1">
      <alignment horizontal="center" vertical="center"/>
    </xf>
    <xf numFmtId="3" fontId="8" fillId="3" borderId="4" xfId="0" applyNumberFormat="1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21" xfId="0" applyFont="1" applyFill="1" applyBorder="1" applyAlignment="1">
      <alignment horizontal="center"/>
    </xf>
    <xf numFmtId="0" fontId="0" fillId="0" borderId="0" xfId="0"/>
    <xf numFmtId="0" fontId="7" fillId="0" borderId="4" xfId="0" applyFont="1" applyBorder="1" applyAlignment="1">
      <alignment horizontal="center" vertical="center" wrapText="1"/>
    </xf>
    <xf numFmtId="3" fontId="8" fillId="0" borderId="4" xfId="0" applyNumberFormat="1" applyFont="1" applyBorder="1"/>
    <xf numFmtId="0" fontId="8" fillId="0" borderId="4" xfId="0" applyFont="1" applyBorder="1" applyAlignment="1">
      <alignment horizontal="center" vertical="center" wrapText="1"/>
    </xf>
    <xf numFmtId="3" fontId="8" fillId="0" borderId="4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3" fontId="8" fillId="0" borderId="4" xfId="0" applyNumberFormat="1" applyFont="1" applyFill="1" applyBorder="1"/>
    <xf numFmtId="0" fontId="7" fillId="0" borderId="6" xfId="0" applyFont="1" applyBorder="1" applyAlignment="1">
      <alignment horizontal="center" vertical="center" wrapText="1"/>
    </xf>
    <xf numFmtId="0" fontId="8" fillId="0" borderId="8" xfId="0" applyFont="1" applyBorder="1" applyAlignment="1"/>
    <xf numFmtId="3" fontId="8" fillId="3" borderId="4" xfId="0" applyNumberFormat="1" applyFont="1" applyFill="1" applyBorder="1"/>
    <xf numFmtId="0" fontId="7" fillId="0" borderId="24" xfId="0" applyFont="1" applyBorder="1" applyAlignment="1">
      <alignment vertical="center" wrapText="1"/>
    </xf>
    <xf numFmtId="3" fontId="8" fillId="2" borderId="4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wrapText="1"/>
    </xf>
    <xf numFmtId="3" fontId="8" fillId="0" borderId="4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3" fontId="8" fillId="0" borderId="4" xfId="0" applyNumberFormat="1" applyFont="1" applyBorder="1" applyAlignment="1">
      <alignment horizontal="right" vertical="center" wrapText="1"/>
    </xf>
    <xf numFmtId="3" fontId="7" fillId="0" borderId="4" xfId="0" applyNumberFormat="1" applyFont="1" applyBorder="1" applyAlignment="1">
      <alignment horizontal="right" vertical="center" wrapText="1"/>
    </xf>
    <xf numFmtId="0" fontId="0" fillId="0" borderId="0" xfId="0" applyFont="1"/>
    <xf numFmtId="3" fontId="10" fillId="4" borderId="4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17" fillId="6" borderId="0" xfId="0" applyFont="1" applyFill="1"/>
    <xf numFmtId="0" fontId="18" fillId="6" borderId="0" xfId="0" applyFont="1" applyFill="1"/>
    <xf numFmtId="0" fontId="7" fillId="0" borderId="4" xfId="0" applyFont="1" applyFill="1" applyBorder="1" applyAlignment="1">
      <alignment horizontal="center" vertical="center" wrapText="1"/>
    </xf>
    <xf numFmtId="3" fontId="5" fillId="0" borderId="4" xfId="0" applyNumberFormat="1" applyFont="1" applyBorder="1" applyAlignment="1">
      <alignment horizontal="center" vertical="center" wrapText="1"/>
    </xf>
    <xf numFmtId="3" fontId="5" fillId="0" borderId="4" xfId="0" applyNumberFormat="1" applyFont="1" applyFill="1" applyBorder="1" applyAlignment="1">
      <alignment horizontal="center" vertical="center" wrapText="1"/>
    </xf>
    <xf numFmtId="3" fontId="0" fillId="4" borderId="0" xfId="0" applyNumberFormat="1" applyFill="1"/>
    <xf numFmtId="0" fontId="5" fillId="0" borderId="4" xfId="0" applyFont="1" applyBorder="1" applyAlignment="1">
      <alignment horizontal="center" vertical="center" wrapText="1"/>
    </xf>
    <xf numFmtId="3" fontId="5" fillId="0" borderId="0" xfId="0" applyNumberFormat="1" applyFont="1"/>
    <xf numFmtId="0" fontId="5" fillId="2" borderId="4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8" fillId="0" borderId="8" xfId="0" applyFont="1" applyFill="1" applyBorder="1" applyAlignment="1"/>
    <xf numFmtId="0" fontId="5" fillId="0" borderId="4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3" fontId="0" fillId="0" borderId="4" xfId="0" applyNumberFormat="1" applyFill="1" applyBorder="1"/>
    <xf numFmtId="0" fontId="0" fillId="0" borderId="8" xfId="0" applyFill="1" applyBorder="1"/>
    <xf numFmtId="0" fontId="7" fillId="0" borderId="6" xfId="0" applyFont="1" applyFill="1" applyBorder="1" applyAlignment="1">
      <alignment horizontal="center" vertical="center" wrapText="1"/>
    </xf>
    <xf numFmtId="3" fontId="8" fillId="0" borderId="4" xfId="0" applyNumberFormat="1" applyFont="1" applyFill="1" applyBorder="1" applyAlignment="1">
      <alignment horizontal="center" vertical="center"/>
    </xf>
    <xf numFmtId="3" fontId="5" fillId="0" borderId="4" xfId="0" applyNumberFormat="1" applyFont="1" applyFill="1" applyBorder="1" applyAlignment="1">
      <alignment horizontal="center" vertical="center"/>
    </xf>
    <xf numFmtId="3" fontId="0" fillId="0" borderId="4" xfId="0" applyNumberFormat="1" applyFill="1" applyBorder="1" applyAlignment="1">
      <alignment horizontal="center" vertical="center" wrapText="1"/>
    </xf>
    <xf numFmtId="3" fontId="7" fillId="0" borderId="4" xfId="1" applyNumberFormat="1" applyFont="1" applyFill="1" applyBorder="1" applyAlignment="1">
      <alignment vertical="center"/>
    </xf>
    <xf numFmtId="3" fontId="8" fillId="0" borderId="6" xfId="0" applyNumberFormat="1" applyFont="1" applyFill="1" applyBorder="1"/>
    <xf numFmtId="0" fontId="8" fillId="0" borderId="8" xfId="0" applyFont="1" applyFill="1" applyBorder="1"/>
    <xf numFmtId="0" fontId="8" fillId="0" borderId="8" xfId="0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vertical="center"/>
    </xf>
    <xf numFmtId="0" fontId="8" fillId="0" borderId="6" xfId="0" applyFont="1" applyFill="1" applyBorder="1" applyAlignment="1">
      <alignment wrapText="1"/>
    </xf>
    <xf numFmtId="0" fontId="13" fillId="0" borderId="22" xfId="0" applyFont="1" applyFill="1" applyBorder="1" applyAlignment="1">
      <alignment wrapText="1"/>
    </xf>
    <xf numFmtId="3" fontId="0" fillId="3" borderId="0" xfId="0" applyNumberFormat="1" applyFill="1"/>
    <xf numFmtId="3" fontId="0" fillId="0" borderId="4" xfId="0" applyNumberFormat="1" applyFont="1" applyBorder="1"/>
    <xf numFmtId="3" fontId="0" fillId="0" borderId="0" xfId="0" applyNumberFormat="1" applyAlignment="1">
      <alignment wrapText="1"/>
    </xf>
    <xf numFmtId="0" fontId="8" fillId="0" borderId="8" xfId="0" applyFont="1" applyFill="1" applyBorder="1" applyAlignment="1">
      <alignment wrapText="1"/>
    </xf>
    <xf numFmtId="0" fontId="8" fillId="0" borderId="6" xfId="0" applyFont="1" applyFill="1" applyBorder="1" applyAlignment="1">
      <alignment wrapText="1"/>
    </xf>
    <xf numFmtId="0" fontId="13" fillId="0" borderId="22" xfId="0" applyFont="1" applyFill="1" applyBorder="1" applyAlignment="1">
      <alignment wrapText="1"/>
    </xf>
    <xf numFmtId="0" fontId="0" fillId="0" borderId="0" xfId="0" applyBorder="1"/>
    <xf numFmtId="0" fontId="0" fillId="0" borderId="0" xfId="0" applyBorder="1" applyAlignment="1">
      <alignment wrapText="1"/>
    </xf>
    <xf numFmtId="3" fontId="0" fillId="0" borderId="0" xfId="0" applyNumberFormat="1" applyBorder="1"/>
    <xf numFmtId="0" fontId="0" fillId="0" borderId="0" xfId="0" applyFont="1" applyFill="1" applyBorder="1" applyAlignment="1">
      <alignment wrapText="1"/>
    </xf>
    <xf numFmtId="0" fontId="8" fillId="0" borderId="4" xfId="0" applyFont="1" applyFill="1" applyBorder="1" applyAlignment="1">
      <alignment vertical="center"/>
    </xf>
    <xf numFmtId="3" fontId="3" fillId="0" borderId="4" xfId="0" applyNumberFormat="1" applyFont="1" applyFill="1" applyBorder="1"/>
    <xf numFmtId="0" fontId="5" fillId="0" borderId="6" xfId="0" applyNumberFormat="1" applyFont="1" applyFill="1" applyBorder="1" applyAlignment="1">
      <alignment horizontal="center" vertical="center" wrapText="1"/>
    </xf>
    <xf numFmtId="3" fontId="8" fillId="0" borderId="4" xfId="0" applyNumberFormat="1" applyFont="1" applyFill="1" applyBorder="1" applyAlignment="1">
      <alignment horizontal="right" vertical="center"/>
    </xf>
    <xf numFmtId="0" fontId="5" fillId="0" borderId="4" xfId="0" quotePrefix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5" borderId="5" xfId="0" applyFont="1" applyFill="1" applyBorder="1"/>
    <xf numFmtId="0" fontId="3" fillId="5" borderId="4" xfId="0" applyFont="1" applyFill="1" applyBorder="1" applyAlignment="1">
      <alignment horizontal="center"/>
    </xf>
    <xf numFmtId="3" fontId="3" fillId="5" borderId="5" xfId="0" applyNumberFormat="1" applyFont="1" applyFill="1" applyBorder="1"/>
    <xf numFmtId="0" fontId="3" fillId="5" borderId="8" xfId="0" applyFont="1" applyFill="1" applyBorder="1" applyAlignment="1"/>
    <xf numFmtId="0" fontId="3" fillId="5" borderId="20" xfId="0" applyFont="1" applyFill="1" applyBorder="1" applyAlignment="1">
      <alignment horizontal="center"/>
    </xf>
    <xf numFmtId="0" fontId="3" fillId="5" borderId="21" xfId="0" applyFont="1" applyFill="1" applyBorder="1" applyAlignment="1">
      <alignment horizontal="center"/>
    </xf>
    <xf numFmtId="0" fontId="3" fillId="5" borderId="8" xfId="0" applyFont="1" applyFill="1" applyBorder="1"/>
    <xf numFmtId="0" fontId="8" fillId="0" borderId="8" xfId="0" applyFont="1" applyFill="1" applyBorder="1" applyAlignment="1">
      <alignment wrapText="1"/>
    </xf>
    <xf numFmtId="3" fontId="7" fillId="0" borderId="4" xfId="1" applyNumberFormat="1" applyFont="1" applyFill="1" applyBorder="1" applyAlignment="1">
      <alignment horizontal="center" vertical="center"/>
    </xf>
    <xf numFmtId="0" fontId="8" fillId="0" borderId="8" xfId="0" applyFont="1" applyFill="1" applyBorder="1" applyAlignment="1">
      <alignment vertical="center" wrapText="1"/>
    </xf>
    <xf numFmtId="0" fontId="8" fillId="0" borderId="8" xfId="0" applyFont="1" applyFill="1" applyBorder="1" applyAlignment="1">
      <alignment wrapText="1"/>
    </xf>
    <xf numFmtId="0" fontId="13" fillId="0" borderId="22" xfId="0" applyFont="1" applyFill="1" applyBorder="1" applyAlignment="1">
      <alignment wrapText="1"/>
    </xf>
    <xf numFmtId="0" fontId="13" fillId="0" borderId="6" xfId="0" applyFont="1" applyFill="1" applyBorder="1" applyAlignment="1">
      <alignment wrapText="1"/>
    </xf>
    <xf numFmtId="3" fontId="5" fillId="0" borderId="4" xfId="0" applyNumberFormat="1" applyFont="1" applyFill="1" applyBorder="1"/>
    <xf numFmtId="0" fontId="5" fillId="0" borderId="6" xfId="0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6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0" fontId="12" fillId="0" borderId="4" xfId="0" applyNumberFormat="1" applyFont="1" applyFill="1" applyBorder="1" applyAlignment="1">
      <alignment horizontal="center" vertical="center" wrapText="1"/>
    </xf>
    <xf numFmtId="3" fontId="0" fillId="0" borderId="4" xfId="0" applyNumberFormat="1" applyFill="1" applyBorder="1" applyAlignment="1">
      <alignment horizontal="center" vertical="center"/>
    </xf>
    <xf numFmtId="3" fontId="0" fillId="0" borderId="6" xfId="0" applyNumberFormat="1" applyFill="1" applyBorder="1"/>
    <xf numFmtId="0" fontId="0" fillId="0" borderId="8" xfId="0" applyFill="1" applyBorder="1" applyAlignment="1"/>
    <xf numFmtId="3" fontId="7" fillId="0" borderId="7" xfId="1" applyNumberFormat="1" applyFont="1" applyFill="1" applyBorder="1" applyAlignment="1">
      <alignment vertical="center"/>
    </xf>
    <xf numFmtId="3" fontId="7" fillId="0" borderId="5" xfId="1" applyNumberFormat="1" applyFont="1" applyFill="1" applyBorder="1" applyAlignment="1">
      <alignment vertical="center"/>
    </xf>
    <xf numFmtId="3" fontId="8" fillId="0" borderId="4" xfId="0" applyNumberFormat="1" applyFont="1" applyFill="1" applyBorder="1" applyAlignment="1">
      <alignment horizontal="right" vertical="center" wrapText="1"/>
    </xf>
    <xf numFmtId="3" fontId="0" fillId="0" borderId="4" xfId="0" applyNumberFormat="1" applyFont="1" applyFill="1" applyBorder="1"/>
    <xf numFmtId="0" fontId="0" fillId="0" borderId="0" xfId="0" applyFont="1" applyFill="1"/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wrapText="1"/>
    </xf>
    <xf numFmtId="0" fontId="8" fillId="0" borderId="22" xfId="0" applyFont="1" applyFill="1" applyBorder="1" applyAlignment="1">
      <alignment wrapText="1"/>
    </xf>
    <xf numFmtId="0" fontId="8" fillId="0" borderId="6" xfId="0" applyFont="1" applyFill="1" applyBorder="1" applyAlignment="1">
      <alignment wrapText="1"/>
    </xf>
    <xf numFmtId="0" fontId="13" fillId="0" borderId="22" xfId="0" applyFont="1" applyFill="1" applyBorder="1" applyAlignment="1">
      <alignment horizontal="left" wrapText="1"/>
    </xf>
    <xf numFmtId="0" fontId="13" fillId="0" borderId="6" xfId="0" applyFont="1" applyFill="1" applyBorder="1" applyAlignment="1">
      <alignment horizontal="left" wrapText="1"/>
    </xf>
    <xf numFmtId="0" fontId="8" fillId="0" borderId="8" xfId="0" applyFont="1" applyFill="1" applyBorder="1" applyAlignment="1">
      <alignment horizontal="left" wrapText="1"/>
    </xf>
    <xf numFmtId="0" fontId="8" fillId="0" borderId="22" xfId="0" applyFont="1" applyFill="1" applyBorder="1" applyAlignment="1">
      <alignment horizontal="left" wrapText="1"/>
    </xf>
    <xf numFmtId="0" fontId="8" fillId="0" borderId="6" xfId="0" applyFont="1" applyFill="1" applyBorder="1" applyAlignment="1">
      <alignment horizontal="left" wrapText="1"/>
    </xf>
    <xf numFmtId="0" fontId="5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wrapText="1"/>
    </xf>
    <xf numFmtId="0" fontId="8" fillId="0" borderId="22" xfId="0" applyFont="1" applyBorder="1" applyAlignment="1">
      <alignment wrapText="1"/>
    </xf>
    <xf numFmtId="0" fontId="8" fillId="0" borderId="6" xfId="0" applyFont="1" applyBorder="1" applyAlignment="1">
      <alignment wrapText="1"/>
    </xf>
    <xf numFmtId="0" fontId="5" fillId="0" borderId="7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7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left" wrapText="1"/>
    </xf>
    <xf numFmtId="0" fontId="8" fillId="0" borderId="22" xfId="0" applyFont="1" applyBorder="1" applyAlignment="1">
      <alignment horizontal="left" wrapText="1"/>
    </xf>
    <xf numFmtId="0" fontId="8" fillId="0" borderId="6" xfId="0" applyFont="1" applyBorder="1" applyAlignment="1">
      <alignment horizontal="left" wrapText="1"/>
    </xf>
    <xf numFmtId="0" fontId="13" fillId="0" borderId="22" xfId="0" applyFont="1" applyBorder="1" applyAlignment="1">
      <alignment horizontal="left" wrapText="1"/>
    </xf>
    <xf numFmtId="0" fontId="13" fillId="0" borderId="6" xfId="0" applyFont="1" applyBorder="1" applyAlignment="1">
      <alignment horizontal="left" wrapText="1"/>
    </xf>
    <xf numFmtId="0" fontId="13" fillId="0" borderId="22" xfId="0" applyFont="1" applyFill="1" applyBorder="1" applyAlignment="1">
      <alignment wrapText="1"/>
    </xf>
    <xf numFmtId="0" fontId="13" fillId="0" borderId="6" xfId="0" applyFont="1" applyFill="1" applyBorder="1" applyAlignment="1">
      <alignment wrapText="1"/>
    </xf>
    <xf numFmtId="49" fontId="5" fillId="0" borderId="7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wrapText="1"/>
    </xf>
    <xf numFmtId="0" fontId="5" fillId="0" borderId="7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13" fillId="0" borderId="22" xfId="0" applyFont="1" applyBorder="1" applyAlignment="1">
      <alignment wrapText="1"/>
    </xf>
    <xf numFmtId="0" fontId="13" fillId="0" borderId="6" xfId="0" applyFont="1" applyBorder="1" applyAlignment="1">
      <alignment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8" fillId="0" borderId="7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3" fontId="8" fillId="0" borderId="7" xfId="0" applyNumberFormat="1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left" wrapText="1"/>
    </xf>
    <xf numFmtId="0" fontId="10" fillId="4" borderId="22" xfId="0" applyFont="1" applyFill="1" applyBorder="1" applyAlignment="1">
      <alignment horizontal="left" wrapText="1"/>
    </xf>
    <xf numFmtId="0" fontId="10" fillId="4" borderId="6" xfId="0" applyFont="1" applyFill="1" applyBorder="1" applyAlignment="1">
      <alignment horizontal="left" wrapText="1"/>
    </xf>
    <xf numFmtId="0" fontId="8" fillId="4" borderId="8" xfId="0" applyFont="1" applyFill="1" applyBorder="1" applyAlignment="1">
      <alignment wrapText="1"/>
    </xf>
    <xf numFmtId="0" fontId="8" fillId="4" borderId="22" xfId="0" applyFont="1" applyFill="1" applyBorder="1" applyAlignment="1">
      <alignment wrapText="1"/>
    </xf>
    <xf numFmtId="0" fontId="8" fillId="4" borderId="6" xfId="0" applyFont="1" applyFill="1" applyBorder="1" applyAlignment="1">
      <alignment wrapText="1"/>
    </xf>
    <xf numFmtId="0" fontId="8" fillId="4" borderId="8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13" fillId="5" borderId="22" xfId="0" applyFont="1" applyFill="1" applyBorder="1" applyAlignment="1">
      <alignment wrapText="1"/>
    </xf>
    <xf numFmtId="0" fontId="13" fillId="5" borderId="6" xfId="0" applyFont="1" applyFill="1" applyBorder="1" applyAlignment="1">
      <alignment wrapText="1"/>
    </xf>
    <xf numFmtId="0" fontId="7" fillId="0" borderId="7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0" fillId="5" borderId="20" xfId="0" applyFont="1" applyFill="1" applyBorder="1" applyAlignment="1">
      <alignment wrapText="1"/>
    </xf>
    <xf numFmtId="0" fontId="10" fillId="5" borderId="23" xfId="0" applyFont="1" applyFill="1" applyBorder="1" applyAlignment="1">
      <alignment wrapText="1"/>
    </xf>
    <xf numFmtId="0" fontId="10" fillId="5" borderId="21" xfId="0" applyFont="1" applyFill="1" applyBorder="1" applyAlignment="1">
      <alignment wrapText="1"/>
    </xf>
    <xf numFmtId="0" fontId="8" fillId="5" borderId="20" xfId="0" applyFont="1" applyFill="1" applyBorder="1" applyAlignment="1">
      <alignment horizontal="center"/>
    </xf>
    <xf numFmtId="0" fontId="8" fillId="5" borderId="21" xfId="0" applyFont="1" applyFill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0" fillId="3" borderId="8" xfId="0" applyFont="1" applyFill="1" applyBorder="1" applyAlignment="1">
      <alignment horizontal="left" wrapText="1"/>
    </xf>
    <xf numFmtId="0" fontId="10" fillId="3" borderId="22" xfId="0" applyFont="1" applyFill="1" applyBorder="1" applyAlignment="1">
      <alignment horizontal="left" wrapText="1"/>
    </xf>
    <xf numFmtId="0" fontId="10" fillId="3" borderId="6" xfId="0" applyFont="1" applyFill="1" applyBorder="1" applyAlignment="1">
      <alignment horizontal="left" wrapText="1"/>
    </xf>
    <xf numFmtId="0" fontId="8" fillId="3" borderId="8" xfId="0" applyFont="1" applyFill="1" applyBorder="1" applyAlignment="1">
      <alignment wrapText="1"/>
    </xf>
    <xf numFmtId="0" fontId="8" fillId="3" borderId="22" xfId="0" applyFont="1" applyFill="1" applyBorder="1" applyAlignment="1">
      <alignment wrapText="1"/>
    </xf>
    <xf numFmtId="0" fontId="8" fillId="3" borderId="6" xfId="0" applyFont="1" applyFill="1" applyBorder="1" applyAlignment="1">
      <alignment wrapText="1"/>
    </xf>
    <xf numFmtId="0" fontId="8" fillId="2" borderId="8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5" borderId="8" xfId="0" applyFont="1" applyFill="1" applyBorder="1" applyAlignment="1">
      <alignment wrapText="1"/>
    </xf>
    <xf numFmtId="0" fontId="8" fillId="5" borderId="22" xfId="0" applyFont="1" applyFill="1" applyBorder="1" applyAlignment="1">
      <alignment wrapText="1"/>
    </xf>
    <xf numFmtId="0" fontId="8" fillId="5" borderId="6" xfId="0" applyFont="1" applyFill="1" applyBorder="1" applyAlignment="1">
      <alignment wrapText="1"/>
    </xf>
    <xf numFmtId="0" fontId="8" fillId="5" borderId="8" xfId="0" applyFont="1" applyFill="1" applyBorder="1" applyAlignment="1">
      <alignment horizontal="center"/>
    </xf>
    <xf numFmtId="0" fontId="8" fillId="5" borderId="6" xfId="0" applyFont="1" applyFill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0" fontId="7" fillId="0" borderId="2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5" fillId="0" borderId="7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49" fontId="8" fillId="0" borderId="7" xfId="0" applyNumberFormat="1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49" fontId="8" fillId="0" borderId="5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5" borderId="20" xfId="0" applyFont="1" applyFill="1" applyBorder="1" applyAlignment="1">
      <alignment horizontal="center"/>
    </xf>
    <xf numFmtId="0" fontId="3" fillId="5" borderId="21" xfId="0" applyFont="1" applyFill="1" applyBorder="1" applyAlignment="1">
      <alignment horizontal="center"/>
    </xf>
    <xf numFmtId="0" fontId="8" fillId="0" borderId="16" xfId="0" applyFont="1" applyFill="1" applyBorder="1" applyAlignment="1">
      <alignment wrapText="1"/>
    </xf>
    <xf numFmtId="0" fontId="3" fillId="5" borderId="8" xfId="0" applyFont="1" applyFill="1" applyBorder="1" applyAlignment="1">
      <alignment wrapText="1"/>
    </xf>
    <xf numFmtId="0" fontId="3" fillId="5" borderId="22" xfId="0" applyFont="1" applyFill="1" applyBorder="1" applyAlignment="1">
      <alignment wrapText="1"/>
    </xf>
    <xf numFmtId="0" fontId="3" fillId="5" borderId="6" xfId="0" applyFont="1" applyFill="1" applyBorder="1" applyAlignment="1">
      <alignment wrapText="1"/>
    </xf>
    <xf numFmtId="0" fontId="3" fillId="5" borderId="8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</cellXfs>
  <cellStyles count="11">
    <cellStyle name="Dziesiętny" xfId="1" builtinId="3"/>
    <cellStyle name="Normalny" xfId="0" builtinId="0"/>
    <cellStyle name="Normalny 2" xfId="8"/>
    <cellStyle name="Normalny 2 2" xfId="2"/>
    <cellStyle name="Normalny 2 2 2" xfId="7"/>
    <cellStyle name="Normalny 2 2 3" xfId="10"/>
    <cellStyle name="Normalny 2 3" xfId="9"/>
    <cellStyle name="Normalny 3" xfId="3"/>
    <cellStyle name="Normalny 3 2" xfId="5"/>
    <cellStyle name="Normalny 3 2 2" xfId="6"/>
    <cellStyle name="Normalny 4" xfId="4"/>
  </cellStyles>
  <dxfs count="0"/>
  <tableStyles count="0" defaultTableStyle="TableStyleMedium9" defaultPivotStyle="PivotStyleLight16"/>
  <colors>
    <mruColors>
      <color rgb="FFFFCCFF"/>
      <color rgb="FFFF66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50"/>
  <sheetViews>
    <sheetView tabSelected="1" view="pageBreakPreview" topLeftCell="B1" zoomScaleNormal="100" zoomScaleSheetLayoutView="100" workbookViewId="0">
      <pane ySplit="3" topLeftCell="A61" activePane="bottomLeft" state="frozen"/>
      <selection pane="bottomLeft" activeCell="J62" sqref="J62"/>
    </sheetView>
  </sheetViews>
  <sheetFormatPr defaultRowHeight="14.25"/>
  <cols>
    <col min="1" max="1" width="3.25" bestFit="1" customWidth="1"/>
    <col min="2" max="2" width="27.125" style="14" customWidth="1"/>
    <col min="3" max="3" width="24.75" style="14" customWidth="1"/>
    <col min="4" max="4" width="17.25" customWidth="1"/>
    <col min="5" max="5" width="3.75" customWidth="1"/>
    <col min="6" max="6" width="3.875" customWidth="1"/>
    <col min="7" max="7" width="10.5" customWidth="1"/>
    <col min="8" max="8" width="13.25" customWidth="1"/>
    <col min="9" max="9" width="11.875" customWidth="1"/>
    <col min="10" max="10" width="12.625" bestFit="1" customWidth="1"/>
    <col min="11" max="11" width="11.75" bestFit="1" customWidth="1"/>
    <col min="12" max="12" width="12" bestFit="1" customWidth="1"/>
    <col min="13" max="13" width="10.875" bestFit="1" customWidth="1"/>
    <col min="14" max="14" width="10.5" customWidth="1"/>
    <col min="15" max="15" width="10.875" bestFit="1" customWidth="1"/>
    <col min="16" max="16" width="10.5" customWidth="1"/>
    <col min="17" max="17" width="9.625" customWidth="1"/>
    <col min="18" max="18" width="10.875" customWidth="1"/>
    <col min="19" max="19" width="9.625" customWidth="1"/>
    <col min="20" max="21" width="8.375" customWidth="1"/>
    <col min="22" max="22" width="8.125" customWidth="1"/>
    <col min="23" max="23" width="11.25" customWidth="1"/>
    <col min="24" max="24" width="12.625" bestFit="1" customWidth="1"/>
    <col min="25" max="25" width="11.125" bestFit="1" customWidth="1"/>
  </cols>
  <sheetData>
    <row r="1" spans="1:25" ht="65.25" customHeight="1" thickBot="1">
      <c r="I1" s="55"/>
      <c r="J1" s="55"/>
      <c r="K1" s="55"/>
      <c r="L1" s="55"/>
      <c r="M1" s="55"/>
      <c r="N1" s="55"/>
      <c r="O1" s="55"/>
      <c r="P1" s="65"/>
      <c r="Q1" s="259" t="s">
        <v>312</v>
      </c>
      <c r="R1" s="259"/>
      <c r="S1" s="259"/>
      <c r="T1" s="259"/>
      <c r="U1" s="259"/>
      <c r="V1" s="65"/>
      <c r="W1" s="50"/>
    </row>
    <row r="2" spans="1:25" ht="30.75" customHeight="1" thickBot="1">
      <c r="A2" s="20" t="s">
        <v>0</v>
      </c>
      <c r="B2" s="260" t="s">
        <v>55</v>
      </c>
      <c r="C2" s="261" t="s">
        <v>56</v>
      </c>
      <c r="D2" s="260" t="s">
        <v>109</v>
      </c>
      <c r="E2" s="263" t="s">
        <v>110</v>
      </c>
      <c r="F2" s="264"/>
      <c r="G2" s="261" t="s">
        <v>111</v>
      </c>
      <c r="H2" s="261" t="s">
        <v>157</v>
      </c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8"/>
      <c r="W2" s="258" t="s">
        <v>1</v>
      </c>
    </row>
    <row r="3" spans="1:25" ht="24" customHeight="1" thickBot="1">
      <c r="A3" s="21"/>
      <c r="B3" s="260"/>
      <c r="C3" s="262"/>
      <c r="D3" s="260"/>
      <c r="E3" s="265"/>
      <c r="F3" s="266"/>
      <c r="G3" s="262"/>
      <c r="H3" s="262"/>
      <c r="I3" s="4">
        <v>2012</v>
      </c>
      <c r="J3" s="4">
        <v>2013</v>
      </c>
      <c r="K3" s="67">
        <v>2014</v>
      </c>
      <c r="L3" s="4">
        <v>2015</v>
      </c>
      <c r="M3" s="4">
        <v>2016</v>
      </c>
      <c r="N3" s="4">
        <v>2017</v>
      </c>
      <c r="O3" s="4">
        <v>2018</v>
      </c>
      <c r="P3" s="4">
        <v>2019</v>
      </c>
      <c r="Q3" s="4">
        <v>2020</v>
      </c>
      <c r="R3" s="4">
        <v>2021</v>
      </c>
      <c r="S3" s="4">
        <v>2022</v>
      </c>
      <c r="T3" s="4">
        <v>2023</v>
      </c>
      <c r="U3" s="4">
        <v>2024</v>
      </c>
      <c r="V3" s="4">
        <v>2025</v>
      </c>
      <c r="W3" s="258"/>
    </row>
    <row r="4" spans="1:25" ht="15">
      <c r="A4" s="5"/>
      <c r="B4" s="15"/>
      <c r="C4" s="15"/>
      <c r="D4" s="5"/>
      <c r="E4" s="243"/>
      <c r="F4" s="244"/>
      <c r="G4" s="49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1:25" s="37" customFormat="1" ht="15" customHeight="1">
      <c r="A5" s="225" t="s">
        <v>5</v>
      </c>
      <c r="B5" s="226"/>
      <c r="C5" s="226"/>
      <c r="D5" s="226"/>
      <c r="E5" s="226"/>
      <c r="F5" s="226"/>
      <c r="G5" s="227"/>
      <c r="H5" s="36">
        <f>SUM(H6:H7)</f>
        <v>3021236624</v>
      </c>
      <c r="I5" s="36">
        <f t="shared" ref="I5:V5" si="0">SUM(I6:I7)</f>
        <v>435493592</v>
      </c>
      <c r="J5" s="36">
        <f t="shared" si="0"/>
        <v>1063254196</v>
      </c>
      <c r="K5" s="36">
        <f t="shared" si="0"/>
        <v>817451865</v>
      </c>
      <c r="L5" s="36">
        <f t="shared" si="0"/>
        <v>249322105</v>
      </c>
      <c r="M5" s="36">
        <f t="shared" si="0"/>
        <v>22151478</v>
      </c>
      <c r="N5" s="36">
        <f t="shared" si="0"/>
        <v>19730062</v>
      </c>
      <c r="O5" s="36">
        <f t="shared" si="0"/>
        <v>18640922</v>
      </c>
      <c r="P5" s="36">
        <f t="shared" si="0"/>
        <v>6048413</v>
      </c>
      <c r="Q5" s="36">
        <f t="shared" si="0"/>
        <v>5820597</v>
      </c>
      <c r="R5" s="36">
        <f t="shared" si="0"/>
        <v>200000</v>
      </c>
      <c r="S5" s="36">
        <f t="shared" si="0"/>
        <v>200000</v>
      </c>
      <c r="T5" s="36">
        <f t="shared" si="0"/>
        <v>200000</v>
      </c>
      <c r="U5" s="36">
        <f t="shared" si="0"/>
        <v>200000</v>
      </c>
      <c r="V5" s="36">
        <f t="shared" si="0"/>
        <v>200000</v>
      </c>
      <c r="W5" s="51">
        <f>SUM(W9,W257,W261)</f>
        <v>1736606301</v>
      </c>
    </row>
    <row r="6" spans="1:25" s="37" customFormat="1" ht="15">
      <c r="A6" s="228" t="s">
        <v>3</v>
      </c>
      <c r="B6" s="229"/>
      <c r="C6" s="230"/>
      <c r="D6" s="35"/>
      <c r="E6" s="231"/>
      <c r="F6" s="232"/>
      <c r="G6" s="45"/>
      <c r="H6" s="36">
        <f t="shared" ref="H6:V6" si="1">SUM(H10,H258,H262)</f>
        <v>742623500</v>
      </c>
      <c r="I6" s="36">
        <f t="shared" si="1"/>
        <v>188731099</v>
      </c>
      <c r="J6" s="36">
        <f t="shared" si="1"/>
        <v>204177177</v>
      </c>
      <c r="K6" s="36">
        <f t="shared" si="1"/>
        <v>113136192</v>
      </c>
      <c r="L6" s="36">
        <f t="shared" si="1"/>
        <v>47018424</v>
      </c>
      <c r="M6" s="36">
        <f t="shared" si="1"/>
        <v>9151478</v>
      </c>
      <c r="N6" s="36">
        <f t="shared" si="1"/>
        <v>6730062</v>
      </c>
      <c r="O6" s="36">
        <f t="shared" si="1"/>
        <v>3640922</v>
      </c>
      <c r="P6" s="36">
        <f t="shared" si="1"/>
        <v>3221814</v>
      </c>
      <c r="Q6" s="36">
        <f t="shared" si="1"/>
        <v>2993998</v>
      </c>
      <c r="R6" s="36">
        <f t="shared" si="1"/>
        <v>200000</v>
      </c>
      <c r="S6" s="36">
        <f t="shared" si="1"/>
        <v>200000</v>
      </c>
      <c r="T6" s="36">
        <f t="shared" si="1"/>
        <v>200000</v>
      </c>
      <c r="U6" s="36">
        <f t="shared" si="1"/>
        <v>200000</v>
      </c>
      <c r="V6" s="36">
        <f t="shared" si="1"/>
        <v>200000</v>
      </c>
      <c r="W6" s="36"/>
    </row>
    <row r="7" spans="1:25" s="37" customFormat="1" ht="15">
      <c r="A7" s="228" t="s">
        <v>4</v>
      </c>
      <c r="B7" s="229"/>
      <c r="C7" s="230"/>
      <c r="D7" s="35"/>
      <c r="E7" s="231"/>
      <c r="F7" s="232"/>
      <c r="G7" s="45"/>
      <c r="H7" s="36">
        <f t="shared" ref="H7:V7" si="2">SUM(H11,H259,H263)</f>
        <v>2278613124</v>
      </c>
      <c r="I7" s="36">
        <f t="shared" si="2"/>
        <v>246762493</v>
      </c>
      <c r="J7" s="36">
        <f t="shared" si="2"/>
        <v>859077019</v>
      </c>
      <c r="K7" s="36">
        <f t="shared" si="2"/>
        <v>704315673</v>
      </c>
      <c r="L7" s="36">
        <f t="shared" si="2"/>
        <v>202303681</v>
      </c>
      <c r="M7" s="36">
        <f t="shared" si="2"/>
        <v>13000000</v>
      </c>
      <c r="N7" s="36">
        <f t="shared" si="2"/>
        <v>13000000</v>
      </c>
      <c r="O7" s="36">
        <f t="shared" si="2"/>
        <v>15000000</v>
      </c>
      <c r="P7" s="36">
        <f t="shared" si="2"/>
        <v>2826599</v>
      </c>
      <c r="Q7" s="36">
        <f t="shared" si="2"/>
        <v>2826599</v>
      </c>
      <c r="R7" s="36">
        <f t="shared" si="2"/>
        <v>0</v>
      </c>
      <c r="S7" s="36">
        <f t="shared" si="2"/>
        <v>0</v>
      </c>
      <c r="T7" s="36">
        <f t="shared" si="2"/>
        <v>0</v>
      </c>
      <c r="U7" s="36">
        <f t="shared" si="2"/>
        <v>0</v>
      </c>
      <c r="V7" s="36">
        <f t="shared" si="2"/>
        <v>0</v>
      </c>
      <c r="W7" s="36"/>
    </row>
    <row r="8" spans="1:25" s="25" customFormat="1" ht="15">
      <c r="A8" s="23"/>
      <c r="B8" s="26"/>
      <c r="C8" s="26"/>
      <c r="D8" s="23"/>
      <c r="E8" s="251"/>
      <c r="F8" s="252"/>
      <c r="G8" s="46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</row>
    <row r="9" spans="1:25" s="34" customFormat="1" ht="29.25" customHeight="1">
      <c r="A9" s="245" t="s">
        <v>10</v>
      </c>
      <c r="B9" s="246"/>
      <c r="C9" s="246"/>
      <c r="D9" s="246"/>
      <c r="E9" s="246"/>
      <c r="F9" s="246"/>
      <c r="G9" s="247"/>
      <c r="H9" s="64">
        <f>SUM(H10:H11)</f>
        <v>2008641389</v>
      </c>
      <c r="I9" s="64">
        <f t="shared" ref="I9:V9" si="3">SUM(I10:I11)</f>
        <v>195352545</v>
      </c>
      <c r="J9" s="64">
        <f t="shared" si="3"/>
        <v>826798028</v>
      </c>
      <c r="K9" s="64">
        <f t="shared" si="3"/>
        <v>696073293</v>
      </c>
      <c r="L9" s="64">
        <f t="shared" si="3"/>
        <v>184931961</v>
      </c>
      <c r="M9" s="64">
        <f t="shared" si="3"/>
        <v>2709303</v>
      </c>
      <c r="N9" s="64">
        <f t="shared" si="3"/>
        <v>2020519</v>
      </c>
      <c r="O9" s="64">
        <f t="shared" si="3"/>
        <v>1765431</v>
      </c>
      <c r="P9" s="64">
        <f t="shared" si="3"/>
        <v>4172922</v>
      </c>
      <c r="Q9" s="64">
        <f t="shared" si="3"/>
        <v>3945106</v>
      </c>
      <c r="R9" s="64">
        <f t="shared" si="3"/>
        <v>0</v>
      </c>
      <c r="S9" s="64">
        <f t="shared" si="3"/>
        <v>0</v>
      </c>
      <c r="T9" s="64">
        <f t="shared" si="3"/>
        <v>0</v>
      </c>
      <c r="U9" s="64">
        <f t="shared" si="3"/>
        <v>0</v>
      </c>
      <c r="V9" s="64">
        <f t="shared" si="3"/>
        <v>0</v>
      </c>
      <c r="W9" s="52">
        <f>SUM(W12,W37,W42,W52,W57,W303,W17,W22,W27,W32,W62,W70,W76,W84,W92,W98,W103,W109,W115,W121,W127,W133,W138,W143,W156,W162,W169,W175,W182,W191,W198,W203,W208,W213,W218,W223,W230,W239,W246,W149,W251,W47)</f>
        <v>1541353967</v>
      </c>
      <c r="Y9" s="102"/>
    </row>
    <row r="10" spans="1:25" s="34" customFormat="1" ht="15">
      <c r="A10" s="248" t="s">
        <v>3</v>
      </c>
      <c r="B10" s="249"/>
      <c r="C10" s="250"/>
      <c r="D10" s="33"/>
      <c r="E10" s="218"/>
      <c r="F10" s="219"/>
      <c r="G10" s="47"/>
      <c r="H10" s="64">
        <f>SUM(H38,H43,H53,H58,H63,H71,H77,H85,H93,H99,H104,H110,H116,H122,H128,H134,H139,H144,H163,H170,H176,H183,H192,H199,H204,H219,H231,H240,H247,H209,H157,H224,H214,H150,H252,H13,H18,H23,H33,H28)</f>
        <v>153790883</v>
      </c>
      <c r="I10" s="64">
        <f t="shared" ref="I10:V10" si="4">SUM(I38,I43,I53,I58,I63,I71,I77,I85,I93,I99,I104,I110,I116,I122,I128,I134,I139,I144,I163,I170,I176,I183,I192,I199,I204,I219,I231,I240,I247,I209,I157,I224,I214,I150,I252,I13,I18,I23,I33,I28)</f>
        <v>35269638</v>
      </c>
      <c r="J10" s="64">
        <f t="shared" si="4"/>
        <v>48034013</v>
      </c>
      <c r="K10" s="64">
        <f t="shared" si="4"/>
        <v>36529828</v>
      </c>
      <c r="L10" s="64">
        <f t="shared" si="4"/>
        <v>4737765</v>
      </c>
      <c r="M10" s="64">
        <f t="shared" si="4"/>
        <v>2709303</v>
      </c>
      <c r="N10" s="64">
        <f t="shared" si="4"/>
        <v>2020519</v>
      </c>
      <c r="O10" s="64">
        <f t="shared" si="4"/>
        <v>1765431</v>
      </c>
      <c r="P10" s="64">
        <f t="shared" si="4"/>
        <v>1346323</v>
      </c>
      <c r="Q10" s="64">
        <f t="shared" si="4"/>
        <v>1118507</v>
      </c>
      <c r="R10" s="64">
        <f t="shared" si="4"/>
        <v>0</v>
      </c>
      <c r="S10" s="64">
        <f t="shared" si="4"/>
        <v>0</v>
      </c>
      <c r="T10" s="64">
        <f t="shared" si="4"/>
        <v>0</v>
      </c>
      <c r="U10" s="64">
        <f t="shared" si="4"/>
        <v>0</v>
      </c>
      <c r="V10" s="64">
        <f t="shared" si="4"/>
        <v>0</v>
      </c>
      <c r="W10" s="64"/>
    </row>
    <row r="11" spans="1:25" s="34" customFormat="1" ht="15">
      <c r="A11" s="248" t="s">
        <v>4</v>
      </c>
      <c r="B11" s="249"/>
      <c r="C11" s="250"/>
      <c r="D11" s="33"/>
      <c r="E11" s="218"/>
      <c r="F11" s="219"/>
      <c r="G11" s="47"/>
      <c r="H11" s="64">
        <f>SUM(,H14,H19,H24,H29,H34,H39,H44,H54,H59,H67,H75,H80,H87,H94,H100,H105,H111,H117,H123,H129,H135,H140,H145,H165,H172,H178,H187,H195,H202,H205,H221,H235,H243,H250,H158,H227,H217,H151,H49)</f>
        <v>1854850506</v>
      </c>
      <c r="I11" s="64">
        <f t="shared" ref="I11:V11" si="5">SUM(,I14,I19,I24,I29,I34,I39,I44,I54,I59,I67,I75,I80,I87,I94,I100,I105,I111,I117,I123,I129,I135,I140,I145,I165,I172,I178,I187,I195,I202,I205,I221,I235,I243,I250,I158,I227,I217,I151,I49)</f>
        <v>160082907</v>
      </c>
      <c r="J11" s="64">
        <f t="shared" si="5"/>
        <v>778764015</v>
      </c>
      <c r="K11" s="64">
        <f t="shared" si="5"/>
        <v>659543465</v>
      </c>
      <c r="L11" s="64">
        <f t="shared" si="5"/>
        <v>180194196</v>
      </c>
      <c r="M11" s="64">
        <f t="shared" si="5"/>
        <v>0</v>
      </c>
      <c r="N11" s="64">
        <f t="shared" si="5"/>
        <v>0</v>
      </c>
      <c r="O11" s="64">
        <f t="shared" si="5"/>
        <v>0</v>
      </c>
      <c r="P11" s="64">
        <f t="shared" si="5"/>
        <v>2826599</v>
      </c>
      <c r="Q11" s="64">
        <f t="shared" si="5"/>
        <v>2826599</v>
      </c>
      <c r="R11" s="64">
        <f t="shared" si="5"/>
        <v>0</v>
      </c>
      <c r="S11" s="64">
        <f t="shared" si="5"/>
        <v>0</v>
      </c>
      <c r="T11" s="64">
        <f t="shared" si="5"/>
        <v>0</v>
      </c>
      <c r="U11" s="64">
        <f t="shared" si="5"/>
        <v>0</v>
      </c>
      <c r="V11" s="64">
        <f t="shared" si="5"/>
        <v>0</v>
      </c>
      <c r="W11" s="64"/>
      <c r="X11" s="102"/>
      <c r="Y11" s="102"/>
    </row>
    <row r="12" spans="1:25" s="17" customFormat="1" ht="135">
      <c r="A12" s="112">
        <v>1</v>
      </c>
      <c r="B12" s="77" t="s">
        <v>333</v>
      </c>
      <c r="C12" s="77" t="s">
        <v>317</v>
      </c>
      <c r="D12" s="222" t="s">
        <v>176</v>
      </c>
      <c r="E12" s="176" t="s">
        <v>258</v>
      </c>
      <c r="F12" s="161"/>
      <c r="G12" s="177" t="s">
        <v>112</v>
      </c>
      <c r="H12" s="127">
        <f>SUM(H13:H14)</f>
        <v>1600000</v>
      </c>
      <c r="I12" s="127">
        <f t="shared" ref="I12:K12" si="6">SUM(I13:I14)</f>
        <v>0</v>
      </c>
      <c r="J12" s="127">
        <f t="shared" si="6"/>
        <v>800000</v>
      </c>
      <c r="K12" s="127">
        <f t="shared" si="6"/>
        <v>800000</v>
      </c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2">
        <v>1600000</v>
      </c>
    </row>
    <row r="13" spans="1:25" s="17" customFormat="1" ht="15">
      <c r="A13" s="157" t="s">
        <v>3</v>
      </c>
      <c r="B13" s="158"/>
      <c r="C13" s="159"/>
      <c r="D13" s="223"/>
      <c r="E13" s="162"/>
      <c r="F13" s="163"/>
      <c r="G13" s="174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</row>
    <row r="14" spans="1:25" s="17" customFormat="1" ht="15">
      <c r="A14" s="157" t="s">
        <v>11</v>
      </c>
      <c r="B14" s="158"/>
      <c r="C14" s="159"/>
      <c r="D14" s="223"/>
      <c r="E14" s="162"/>
      <c r="F14" s="163"/>
      <c r="G14" s="174"/>
      <c r="H14" s="61">
        <f>SUM(H15:H16)</f>
        <v>1600000</v>
      </c>
      <c r="I14" s="61">
        <f t="shared" ref="I14:K14" si="7">SUM(I15:I16)</f>
        <v>0</v>
      </c>
      <c r="J14" s="61">
        <f t="shared" si="7"/>
        <v>800000</v>
      </c>
      <c r="K14" s="61">
        <f t="shared" si="7"/>
        <v>800000</v>
      </c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91"/>
    </row>
    <row r="15" spans="1:25" s="17" customFormat="1" ht="15">
      <c r="A15" s="99"/>
      <c r="B15" s="155" t="s">
        <v>23</v>
      </c>
      <c r="C15" s="156"/>
      <c r="D15" s="223"/>
      <c r="E15" s="162"/>
      <c r="F15" s="163"/>
      <c r="G15" s="174"/>
      <c r="H15" s="61">
        <v>1170000</v>
      </c>
      <c r="I15" s="61"/>
      <c r="J15" s="61">
        <v>585000</v>
      </c>
      <c r="K15" s="61">
        <v>585000</v>
      </c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</row>
    <row r="16" spans="1:25" s="17" customFormat="1" ht="15">
      <c r="A16" s="99"/>
      <c r="B16" s="155" t="s">
        <v>24</v>
      </c>
      <c r="C16" s="156"/>
      <c r="D16" s="224"/>
      <c r="E16" s="164"/>
      <c r="F16" s="165"/>
      <c r="G16" s="175"/>
      <c r="H16" s="61">
        <v>430000</v>
      </c>
      <c r="I16" s="94"/>
      <c r="J16" s="94">
        <v>215000</v>
      </c>
      <c r="K16" s="95">
        <v>215000</v>
      </c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</row>
    <row r="17" spans="1:23" s="17" customFormat="1" ht="180">
      <c r="A17" s="69">
        <v>2</v>
      </c>
      <c r="B17" s="117" t="s">
        <v>332</v>
      </c>
      <c r="C17" s="117" t="s">
        <v>319</v>
      </c>
      <c r="D17" s="149" t="s">
        <v>177</v>
      </c>
      <c r="E17" s="176" t="s">
        <v>32</v>
      </c>
      <c r="F17" s="161"/>
      <c r="G17" s="177" t="s">
        <v>320</v>
      </c>
      <c r="H17" s="68">
        <f>SUM(H18:H19)</f>
        <v>17340000</v>
      </c>
      <c r="I17" s="68">
        <f t="shared" ref="I17:L17" si="8">SUM(I18:I19)</f>
        <v>0</v>
      </c>
      <c r="J17" s="68">
        <f t="shared" si="8"/>
        <v>7340000</v>
      </c>
      <c r="K17" s="68">
        <f t="shared" si="8"/>
        <v>5000000</v>
      </c>
      <c r="L17" s="68">
        <f t="shared" si="8"/>
        <v>5000000</v>
      </c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>
        <v>17340000</v>
      </c>
    </row>
    <row r="18" spans="1:23" s="17" customFormat="1" ht="15" customHeight="1">
      <c r="A18" s="157" t="s">
        <v>3</v>
      </c>
      <c r="B18" s="158"/>
      <c r="C18" s="159"/>
      <c r="D18" s="150"/>
      <c r="E18" s="162"/>
      <c r="F18" s="163"/>
      <c r="G18" s="174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</row>
    <row r="19" spans="1:23" s="17" customFormat="1" ht="15">
      <c r="A19" s="157" t="s">
        <v>11</v>
      </c>
      <c r="B19" s="158"/>
      <c r="C19" s="159"/>
      <c r="D19" s="150"/>
      <c r="E19" s="162"/>
      <c r="F19" s="163"/>
      <c r="G19" s="174"/>
      <c r="H19" s="61">
        <f>SUM(H20:H21)</f>
        <v>17340000</v>
      </c>
      <c r="I19" s="61">
        <f t="shared" ref="I19:L19" si="9">SUM(I20:I21)</f>
        <v>0</v>
      </c>
      <c r="J19" s="61">
        <f t="shared" si="9"/>
        <v>7340000</v>
      </c>
      <c r="K19" s="61">
        <f t="shared" si="9"/>
        <v>5000000</v>
      </c>
      <c r="L19" s="61">
        <f t="shared" si="9"/>
        <v>5000000</v>
      </c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</row>
    <row r="20" spans="1:23" s="17" customFormat="1" ht="15">
      <c r="A20" s="85"/>
      <c r="B20" s="155" t="s">
        <v>23</v>
      </c>
      <c r="C20" s="156"/>
      <c r="D20" s="150"/>
      <c r="E20" s="162"/>
      <c r="F20" s="163"/>
      <c r="G20" s="174"/>
      <c r="H20" s="61">
        <v>10574000</v>
      </c>
      <c r="I20" s="61"/>
      <c r="J20" s="61">
        <v>4476000</v>
      </c>
      <c r="K20" s="61">
        <v>3049000</v>
      </c>
      <c r="L20" s="61">
        <v>3049000</v>
      </c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</row>
    <row r="21" spans="1:23" s="17" customFormat="1" ht="15">
      <c r="A21" s="85"/>
      <c r="B21" s="155" t="s">
        <v>24</v>
      </c>
      <c r="C21" s="156"/>
      <c r="D21" s="151"/>
      <c r="E21" s="164"/>
      <c r="F21" s="165"/>
      <c r="G21" s="175"/>
      <c r="H21" s="61">
        <v>6766000</v>
      </c>
      <c r="I21" s="61"/>
      <c r="J21" s="61">
        <v>2864000</v>
      </c>
      <c r="K21" s="61">
        <v>1951000</v>
      </c>
      <c r="L21" s="61">
        <v>1951000</v>
      </c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</row>
    <row r="22" spans="1:23" s="17" customFormat="1" ht="255">
      <c r="A22" s="69">
        <v>3</v>
      </c>
      <c r="B22" s="117" t="s">
        <v>321</v>
      </c>
      <c r="C22" s="117" t="s">
        <v>322</v>
      </c>
      <c r="D22" s="149" t="s">
        <v>177</v>
      </c>
      <c r="E22" s="176" t="s">
        <v>323</v>
      </c>
      <c r="F22" s="161"/>
      <c r="G22" s="177" t="s">
        <v>320</v>
      </c>
      <c r="H22" s="68">
        <f>SUM(H23:H24)</f>
        <v>19740000</v>
      </c>
      <c r="I22" s="68">
        <f t="shared" ref="I22:K22" si="10">SUM(I23:I24)</f>
        <v>0</v>
      </c>
      <c r="J22" s="68">
        <f t="shared" si="10"/>
        <v>10000000</v>
      </c>
      <c r="K22" s="68">
        <f t="shared" si="10"/>
        <v>9740000</v>
      </c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>
        <v>19740000</v>
      </c>
    </row>
    <row r="23" spans="1:23" s="17" customFormat="1" ht="15" customHeight="1">
      <c r="A23" s="157" t="s">
        <v>3</v>
      </c>
      <c r="B23" s="158"/>
      <c r="C23" s="159"/>
      <c r="D23" s="150"/>
      <c r="E23" s="162"/>
      <c r="F23" s="163"/>
      <c r="G23" s="174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</row>
    <row r="24" spans="1:23" s="17" customFormat="1" ht="15">
      <c r="A24" s="157" t="s">
        <v>11</v>
      </c>
      <c r="B24" s="158"/>
      <c r="C24" s="159"/>
      <c r="D24" s="150"/>
      <c r="E24" s="162"/>
      <c r="F24" s="163"/>
      <c r="G24" s="174"/>
      <c r="H24" s="61">
        <f>SUM(H25:H26)</f>
        <v>19740000</v>
      </c>
      <c r="I24" s="61">
        <f t="shared" ref="I24:K24" si="11">SUM(I25:I26)</f>
        <v>0</v>
      </c>
      <c r="J24" s="61">
        <f t="shared" si="11"/>
        <v>10000000</v>
      </c>
      <c r="K24" s="61">
        <f t="shared" si="11"/>
        <v>9740000</v>
      </c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</row>
    <row r="25" spans="1:23" s="17" customFormat="1" ht="15">
      <c r="A25" s="85"/>
      <c r="B25" s="155" t="s">
        <v>23</v>
      </c>
      <c r="C25" s="156"/>
      <c r="D25" s="150"/>
      <c r="E25" s="162"/>
      <c r="F25" s="163"/>
      <c r="G25" s="174"/>
      <c r="H25" s="61">
        <v>12037000</v>
      </c>
      <c r="I25" s="61"/>
      <c r="J25" s="61">
        <v>6098000</v>
      </c>
      <c r="K25" s="61">
        <v>5939000</v>
      </c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</row>
    <row r="26" spans="1:23" s="17" customFormat="1" ht="15">
      <c r="A26" s="85"/>
      <c r="B26" s="155" t="s">
        <v>24</v>
      </c>
      <c r="C26" s="156"/>
      <c r="D26" s="151"/>
      <c r="E26" s="164"/>
      <c r="F26" s="165"/>
      <c r="G26" s="175"/>
      <c r="H26" s="61">
        <v>7703000</v>
      </c>
      <c r="I26" s="61"/>
      <c r="J26" s="61">
        <v>3902000</v>
      </c>
      <c r="K26" s="61">
        <v>3801000</v>
      </c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</row>
    <row r="27" spans="1:23" s="17" customFormat="1" ht="180">
      <c r="A27" s="69">
        <v>4</v>
      </c>
      <c r="B27" s="117" t="s">
        <v>331</v>
      </c>
      <c r="C27" s="117" t="s">
        <v>324</v>
      </c>
      <c r="D27" s="149" t="s">
        <v>177</v>
      </c>
      <c r="E27" s="176" t="s">
        <v>32</v>
      </c>
      <c r="F27" s="161"/>
      <c r="G27" s="177" t="s">
        <v>320</v>
      </c>
      <c r="H27" s="68">
        <f>SUM(H28:H29)</f>
        <v>3660000</v>
      </c>
      <c r="I27" s="68">
        <f t="shared" ref="I27:L27" si="12">SUM(I28:I29)</f>
        <v>0</v>
      </c>
      <c r="J27" s="68">
        <f t="shared" si="12"/>
        <v>2000000</v>
      </c>
      <c r="K27" s="68">
        <f t="shared" si="12"/>
        <v>830000</v>
      </c>
      <c r="L27" s="68">
        <f t="shared" si="12"/>
        <v>830000</v>
      </c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>
        <v>3660000</v>
      </c>
    </row>
    <row r="28" spans="1:23" s="17" customFormat="1" ht="15" customHeight="1">
      <c r="A28" s="157" t="s">
        <v>3</v>
      </c>
      <c r="B28" s="158"/>
      <c r="C28" s="159"/>
      <c r="D28" s="150"/>
      <c r="E28" s="162"/>
      <c r="F28" s="163"/>
      <c r="G28" s="174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</row>
    <row r="29" spans="1:23" s="17" customFormat="1" ht="15">
      <c r="A29" s="157" t="s">
        <v>11</v>
      </c>
      <c r="B29" s="158"/>
      <c r="C29" s="159"/>
      <c r="D29" s="150"/>
      <c r="E29" s="162"/>
      <c r="F29" s="163"/>
      <c r="G29" s="174"/>
      <c r="H29" s="61">
        <f>SUM(H30:H31)</f>
        <v>3660000</v>
      </c>
      <c r="I29" s="61">
        <f t="shared" ref="I29:L29" si="13">SUM(I30:I31)</f>
        <v>0</v>
      </c>
      <c r="J29" s="61">
        <f t="shared" si="13"/>
        <v>2000000</v>
      </c>
      <c r="K29" s="61">
        <f t="shared" si="13"/>
        <v>830000</v>
      </c>
      <c r="L29" s="61">
        <f t="shared" si="13"/>
        <v>830000</v>
      </c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</row>
    <row r="30" spans="1:23" s="17" customFormat="1" ht="15">
      <c r="A30" s="85"/>
      <c r="B30" s="155" t="s">
        <v>23</v>
      </c>
      <c r="C30" s="156"/>
      <c r="D30" s="150"/>
      <c r="E30" s="162"/>
      <c r="F30" s="163"/>
      <c r="G30" s="174"/>
      <c r="H30" s="61">
        <v>2231000</v>
      </c>
      <c r="I30" s="61"/>
      <c r="J30" s="61">
        <v>1219000</v>
      </c>
      <c r="K30" s="61">
        <v>506000</v>
      </c>
      <c r="L30" s="61">
        <v>506000</v>
      </c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</row>
    <row r="31" spans="1:23" s="17" customFormat="1" ht="15">
      <c r="A31" s="85"/>
      <c r="B31" s="155" t="s">
        <v>24</v>
      </c>
      <c r="C31" s="156"/>
      <c r="D31" s="151"/>
      <c r="E31" s="164"/>
      <c r="F31" s="165"/>
      <c r="G31" s="175"/>
      <c r="H31" s="61">
        <v>1429000</v>
      </c>
      <c r="I31" s="61"/>
      <c r="J31" s="61">
        <v>781000</v>
      </c>
      <c r="K31" s="61">
        <v>324000</v>
      </c>
      <c r="L31" s="61">
        <v>324000</v>
      </c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</row>
    <row r="32" spans="1:23" s="17" customFormat="1" ht="180">
      <c r="A32" s="69">
        <v>5</v>
      </c>
      <c r="B32" s="117" t="s">
        <v>325</v>
      </c>
      <c r="C32" s="117" t="s">
        <v>326</v>
      </c>
      <c r="D32" s="149" t="s">
        <v>177</v>
      </c>
      <c r="E32" s="176" t="s">
        <v>32</v>
      </c>
      <c r="F32" s="161"/>
      <c r="G32" s="177" t="s">
        <v>320</v>
      </c>
      <c r="H32" s="68">
        <f>SUM(H33:H34)</f>
        <v>25210000</v>
      </c>
      <c r="I32" s="68">
        <f t="shared" ref="I32:L32" si="14">SUM(I33:I34)</f>
        <v>0</v>
      </c>
      <c r="J32" s="68">
        <f t="shared" si="14"/>
        <v>6500000</v>
      </c>
      <c r="K32" s="68">
        <f t="shared" si="14"/>
        <v>9355000</v>
      </c>
      <c r="L32" s="68">
        <f t="shared" si="14"/>
        <v>9355000</v>
      </c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>
        <v>25210000</v>
      </c>
    </row>
    <row r="33" spans="1:23" s="17" customFormat="1" ht="15" customHeight="1">
      <c r="A33" s="157" t="s">
        <v>3</v>
      </c>
      <c r="B33" s="158"/>
      <c r="C33" s="159"/>
      <c r="D33" s="150"/>
      <c r="E33" s="162"/>
      <c r="F33" s="163"/>
      <c r="G33" s="174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</row>
    <row r="34" spans="1:23" s="17" customFormat="1" ht="15">
      <c r="A34" s="157" t="s">
        <v>11</v>
      </c>
      <c r="B34" s="158"/>
      <c r="C34" s="159"/>
      <c r="D34" s="150"/>
      <c r="E34" s="162"/>
      <c r="F34" s="163"/>
      <c r="G34" s="174"/>
      <c r="H34" s="61">
        <f>SUM(H35:H36)</f>
        <v>25210000</v>
      </c>
      <c r="I34" s="61">
        <f t="shared" ref="I34:L34" si="15">SUM(I35:I36)</f>
        <v>0</v>
      </c>
      <c r="J34" s="61">
        <f t="shared" si="15"/>
        <v>6500000</v>
      </c>
      <c r="K34" s="61">
        <f t="shared" si="15"/>
        <v>9355000</v>
      </c>
      <c r="L34" s="61">
        <f t="shared" si="15"/>
        <v>9355000</v>
      </c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</row>
    <row r="35" spans="1:23" s="17" customFormat="1" ht="15">
      <c r="A35" s="85"/>
      <c r="B35" s="155" t="s">
        <v>23</v>
      </c>
      <c r="C35" s="156"/>
      <c r="D35" s="150"/>
      <c r="E35" s="162"/>
      <c r="F35" s="163"/>
      <c r="G35" s="174"/>
      <c r="H35" s="61">
        <v>15371000</v>
      </c>
      <c r="I35" s="61"/>
      <c r="J35" s="61">
        <v>3963000</v>
      </c>
      <c r="K35" s="61">
        <v>5704000</v>
      </c>
      <c r="L35" s="61">
        <v>5704000</v>
      </c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</row>
    <row r="36" spans="1:23" s="17" customFormat="1" ht="15">
      <c r="A36" s="85"/>
      <c r="B36" s="155" t="s">
        <v>24</v>
      </c>
      <c r="C36" s="156"/>
      <c r="D36" s="151"/>
      <c r="E36" s="164"/>
      <c r="F36" s="165"/>
      <c r="G36" s="175"/>
      <c r="H36" s="61">
        <v>9839000</v>
      </c>
      <c r="I36" s="61"/>
      <c r="J36" s="61">
        <v>2537000</v>
      </c>
      <c r="K36" s="61">
        <v>3651000</v>
      </c>
      <c r="L36" s="61">
        <v>3651000</v>
      </c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</row>
    <row r="37" spans="1:23" s="17" customFormat="1" ht="60">
      <c r="A37" s="112">
        <v>6</v>
      </c>
      <c r="B37" s="77" t="s">
        <v>43</v>
      </c>
      <c r="C37" s="77" t="s">
        <v>42</v>
      </c>
      <c r="D37" s="222" t="s">
        <v>176</v>
      </c>
      <c r="E37" s="172" t="s">
        <v>27</v>
      </c>
      <c r="F37" s="161"/>
      <c r="G37" s="173" t="s">
        <v>156</v>
      </c>
      <c r="H37" s="127">
        <f>SUM(H38:H39)</f>
        <v>36013711</v>
      </c>
      <c r="I37" s="127">
        <f t="shared" ref="I37:K37" si="16">SUM(I38:I39)</f>
        <v>8455301</v>
      </c>
      <c r="J37" s="127">
        <f t="shared" si="16"/>
        <v>11633000</v>
      </c>
      <c r="K37" s="127">
        <f t="shared" si="16"/>
        <v>8519357</v>
      </c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2">
        <f>23722288-23722288+5078857</f>
        <v>5078857</v>
      </c>
    </row>
    <row r="38" spans="1:23" s="17" customFormat="1" ht="15">
      <c r="A38" s="157" t="s">
        <v>3</v>
      </c>
      <c r="B38" s="158"/>
      <c r="C38" s="159"/>
      <c r="D38" s="223"/>
      <c r="E38" s="162"/>
      <c r="F38" s="163"/>
      <c r="G38" s="174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</row>
    <row r="39" spans="1:23" s="17" customFormat="1" ht="15">
      <c r="A39" s="157" t="s">
        <v>11</v>
      </c>
      <c r="B39" s="158"/>
      <c r="C39" s="159"/>
      <c r="D39" s="223"/>
      <c r="E39" s="162"/>
      <c r="F39" s="163"/>
      <c r="G39" s="174"/>
      <c r="H39" s="61">
        <f>SUM(H40:H41)</f>
        <v>36013711</v>
      </c>
      <c r="I39" s="61">
        <f t="shared" ref="I39:K39" si="17">SUM(I40:I41)</f>
        <v>8455301</v>
      </c>
      <c r="J39" s="61">
        <f t="shared" si="17"/>
        <v>11633000</v>
      </c>
      <c r="K39" s="61">
        <f t="shared" si="17"/>
        <v>8519357</v>
      </c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91"/>
    </row>
    <row r="40" spans="1:23" s="17" customFormat="1" ht="15">
      <c r="A40" s="99"/>
      <c r="B40" s="155" t="s">
        <v>23</v>
      </c>
      <c r="C40" s="156"/>
      <c r="D40" s="223"/>
      <c r="E40" s="162"/>
      <c r="F40" s="163"/>
      <c r="G40" s="174"/>
      <c r="H40" s="61">
        <v>15451357</v>
      </c>
      <c r="I40" s="61">
        <v>0</v>
      </c>
      <c r="J40" s="61">
        <v>6932000</v>
      </c>
      <c r="K40" s="61">
        <v>8519357</v>
      </c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</row>
    <row r="41" spans="1:23" s="17" customFormat="1" ht="15">
      <c r="A41" s="99"/>
      <c r="B41" s="155" t="s">
        <v>24</v>
      </c>
      <c r="C41" s="156"/>
      <c r="D41" s="224"/>
      <c r="E41" s="164"/>
      <c r="F41" s="165"/>
      <c r="G41" s="175"/>
      <c r="H41" s="61">
        <v>20562354</v>
      </c>
      <c r="I41" s="94">
        <v>8455301</v>
      </c>
      <c r="J41" s="94">
        <v>4701000</v>
      </c>
      <c r="K41" s="95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</row>
    <row r="42" spans="1:23" s="17" customFormat="1" ht="225">
      <c r="A42" s="112">
        <v>7</v>
      </c>
      <c r="B42" s="86" t="s">
        <v>289</v>
      </c>
      <c r="C42" s="86" t="s">
        <v>290</v>
      </c>
      <c r="D42" s="149" t="s">
        <v>175</v>
      </c>
      <c r="E42" s="160" t="s">
        <v>291</v>
      </c>
      <c r="F42" s="161"/>
      <c r="G42" s="173" t="s">
        <v>156</v>
      </c>
      <c r="H42" s="91">
        <f>SUM(H43:H44)</f>
        <v>24204943</v>
      </c>
      <c r="I42" s="91">
        <f t="shared" ref="I42:J42" si="18">SUM(I43:I44)</f>
        <v>524898</v>
      </c>
      <c r="J42" s="91">
        <f t="shared" si="18"/>
        <v>4463000</v>
      </c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>
        <v>4463000</v>
      </c>
    </row>
    <row r="43" spans="1:23" s="17" customFormat="1" ht="15" customHeight="1">
      <c r="A43" s="157" t="s">
        <v>3</v>
      </c>
      <c r="B43" s="158"/>
      <c r="C43" s="159"/>
      <c r="D43" s="150"/>
      <c r="E43" s="162"/>
      <c r="F43" s="163"/>
      <c r="G43" s="174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</row>
    <row r="44" spans="1:23" s="17" customFormat="1" ht="15">
      <c r="A44" s="157" t="s">
        <v>11</v>
      </c>
      <c r="B44" s="158"/>
      <c r="C44" s="159"/>
      <c r="D44" s="150"/>
      <c r="E44" s="162"/>
      <c r="F44" s="163"/>
      <c r="G44" s="174"/>
      <c r="H44" s="61">
        <f>SUM(H45:H46)</f>
        <v>24204943</v>
      </c>
      <c r="I44" s="61">
        <f t="shared" ref="I44:J44" si="19">SUM(I45:I46)</f>
        <v>524898</v>
      </c>
      <c r="J44" s="61">
        <f t="shared" si="19"/>
        <v>4463000</v>
      </c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</row>
    <row r="45" spans="1:23" s="17" customFormat="1" ht="15">
      <c r="A45" s="99"/>
      <c r="B45" s="155" t="s">
        <v>23</v>
      </c>
      <c r="C45" s="156"/>
      <c r="D45" s="150"/>
      <c r="E45" s="162"/>
      <c r="F45" s="163"/>
      <c r="G45" s="174"/>
      <c r="H45" s="94">
        <v>5586071</v>
      </c>
      <c r="I45" s="61">
        <v>503206</v>
      </c>
      <c r="J45" s="61">
        <v>4215000</v>
      </c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</row>
    <row r="46" spans="1:23" s="17" customFormat="1" ht="15">
      <c r="A46" s="99"/>
      <c r="B46" s="155" t="s">
        <v>24</v>
      </c>
      <c r="C46" s="156"/>
      <c r="D46" s="151"/>
      <c r="E46" s="164"/>
      <c r="F46" s="165"/>
      <c r="G46" s="175"/>
      <c r="H46" s="61">
        <v>18618872</v>
      </c>
      <c r="I46" s="61">
        <v>21692</v>
      </c>
      <c r="J46" s="61">
        <v>248000</v>
      </c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</row>
    <row r="47" spans="1:23" s="17" customFormat="1" ht="213" customHeight="1">
      <c r="A47" s="112">
        <v>8</v>
      </c>
      <c r="B47" s="86" t="s">
        <v>292</v>
      </c>
      <c r="C47" s="86" t="s">
        <v>290</v>
      </c>
      <c r="D47" s="149" t="s">
        <v>175</v>
      </c>
      <c r="E47" s="160" t="s">
        <v>291</v>
      </c>
      <c r="F47" s="161"/>
      <c r="G47" s="173" t="s">
        <v>156</v>
      </c>
      <c r="H47" s="91">
        <f>SUM(H48:H49)</f>
        <v>34460903</v>
      </c>
      <c r="I47" s="91">
        <f t="shared" ref="I47:J47" si="20">SUM(I48:I49)</f>
        <v>9765649</v>
      </c>
      <c r="J47" s="91">
        <f t="shared" si="20"/>
        <v>596000</v>
      </c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>
        <v>596000</v>
      </c>
    </row>
    <row r="48" spans="1:23" s="17" customFormat="1" ht="15" customHeight="1">
      <c r="A48" s="157" t="s">
        <v>3</v>
      </c>
      <c r="B48" s="158"/>
      <c r="C48" s="159"/>
      <c r="D48" s="150"/>
      <c r="E48" s="162"/>
      <c r="F48" s="163"/>
      <c r="G48" s="174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</row>
    <row r="49" spans="1:23" s="17" customFormat="1" ht="15">
      <c r="A49" s="157" t="s">
        <v>11</v>
      </c>
      <c r="B49" s="158"/>
      <c r="C49" s="159"/>
      <c r="D49" s="150"/>
      <c r="E49" s="162"/>
      <c r="F49" s="163"/>
      <c r="G49" s="174"/>
      <c r="H49" s="61">
        <f>SUM(H50:H51)</f>
        <v>34460903</v>
      </c>
      <c r="I49" s="61">
        <f t="shared" ref="I49:J49" si="21">SUM(I50:I51)</f>
        <v>9765649</v>
      </c>
      <c r="J49" s="61">
        <f t="shared" si="21"/>
        <v>596000</v>
      </c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</row>
    <row r="50" spans="1:23" s="17" customFormat="1" ht="15">
      <c r="A50" s="99"/>
      <c r="B50" s="155" t="s">
        <v>23</v>
      </c>
      <c r="C50" s="156"/>
      <c r="D50" s="150"/>
      <c r="E50" s="162"/>
      <c r="F50" s="163"/>
      <c r="G50" s="174"/>
      <c r="H50" s="94">
        <v>17526512</v>
      </c>
      <c r="I50" s="61">
        <v>6130112</v>
      </c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</row>
    <row r="51" spans="1:23" s="17" customFormat="1" ht="15">
      <c r="A51" s="99"/>
      <c r="B51" s="155" t="s">
        <v>24</v>
      </c>
      <c r="C51" s="156"/>
      <c r="D51" s="151"/>
      <c r="E51" s="164"/>
      <c r="F51" s="165"/>
      <c r="G51" s="175"/>
      <c r="H51" s="61">
        <v>16934391</v>
      </c>
      <c r="I51" s="61">
        <v>3635537</v>
      </c>
      <c r="J51" s="61">
        <v>596000</v>
      </c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</row>
    <row r="52" spans="1:23" s="17" customFormat="1" ht="120">
      <c r="A52" s="69">
        <v>9</v>
      </c>
      <c r="B52" s="69" t="s">
        <v>136</v>
      </c>
      <c r="C52" s="69" t="s">
        <v>137</v>
      </c>
      <c r="D52" s="149" t="s">
        <v>175</v>
      </c>
      <c r="E52" s="176" t="s">
        <v>318</v>
      </c>
      <c r="F52" s="161"/>
      <c r="G52" s="269" t="s">
        <v>245</v>
      </c>
      <c r="H52" s="68">
        <f>SUM(H53:H54)</f>
        <v>6214844</v>
      </c>
      <c r="I52" s="68">
        <f t="shared" ref="I52:K52" si="22">SUM(I53:I54)</f>
        <v>2616450</v>
      </c>
      <c r="J52" s="68">
        <f t="shared" si="22"/>
        <v>2893354</v>
      </c>
      <c r="K52" s="68">
        <f t="shared" si="22"/>
        <v>514640</v>
      </c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>
        <f>10185034-9507833-344963+1048392</f>
        <v>1380630</v>
      </c>
    </row>
    <row r="53" spans="1:23" s="17" customFormat="1" ht="15">
      <c r="A53" s="157" t="s">
        <v>3</v>
      </c>
      <c r="B53" s="158"/>
      <c r="C53" s="159"/>
      <c r="D53" s="150"/>
      <c r="E53" s="162"/>
      <c r="F53" s="163"/>
      <c r="G53" s="174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</row>
    <row r="54" spans="1:23" s="17" customFormat="1" ht="15">
      <c r="A54" s="157" t="s">
        <v>11</v>
      </c>
      <c r="B54" s="158"/>
      <c r="C54" s="159"/>
      <c r="D54" s="150"/>
      <c r="E54" s="162"/>
      <c r="F54" s="163"/>
      <c r="G54" s="174"/>
      <c r="H54" s="61">
        <f>SUM(H55:H56)</f>
        <v>6214844</v>
      </c>
      <c r="I54" s="61">
        <f t="shared" ref="I54:K54" si="23">SUM(I55:I56)</f>
        <v>2616450</v>
      </c>
      <c r="J54" s="61">
        <f t="shared" si="23"/>
        <v>2893354</v>
      </c>
      <c r="K54" s="61">
        <f t="shared" si="23"/>
        <v>514640</v>
      </c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</row>
    <row r="55" spans="1:23" s="17" customFormat="1" ht="15">
      <c r="A55" s="128"/>
      <c r="B55" s="155" t="s">
        <v>23</v>
      </c>
      <c r="C55" s="156"/>
      <c r="D55" s="150"/>
      <c r="E55" s="162"/>
      <c r="F55" s="163"/>
      <c r="G55" s="174"/>
      <c r="H55" s="61">
        <v>2888354</v>
      </c>
      <c r="I55" s="61">
        <v>0</v>
      </c>
      <c r="J55" s="61">
        <v>2888354</v>
      </c>
      <c r="K55" s="61">
        <v>0</v>
      </c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</row>
    <row r="56" spans="1:23" s="17" customFormat="1" ht="15">
      <c r="A56" s="128"/>
      <c r="B56" s="155" t="s">
        <v>24</v>
      </c>
      <c r="C56" s="156"/>
      <c r="D56" s="151"/>
      <c r="E56" s="164"/>
      <c r="F56" s="165"/>
      <c r="G56" s="175"/>
      <c r="H56" s="61">
        <v>3326490</v>
      </c>
      <c r="I56" s="61">
        <v>2616450</v>
      </c>
      <c r="J56" s="61">
        <v>5000</v>
      </c>
      <c r="K56" s="61">
        <v>514640</v>
      </c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</row>
    <row r="57" spans="1:23" s="17" customFormat="1" ht="149.25" customHeight="1">
      <c r="A57" s="69">
        <v>10</v>
      </c>
      <c r="B57" s="69" t="s">
        <v>139</v>
      </c>
      <c r="C57" s="69" t="s">
        <v>138</v>
      </c>
      <c r="D57" s="149" t="s">
        <v>177</v>
      </c>
      <c r="E57" s="176" t="s">
        <v>255</v>
      </c>
      <c r="F57" s="161"/>
      <c r="G57" s="269" t="s">
        <v>245</v>
      </c>
      <c r="H57" s="68">
        <f>SUM(H58:H59)</f>
        <v>26543778</v>
      </c>
      <c r="I57" s="68">
        <f t="shared" ref="I57:K57" si="24">SUM(I58:I59)</f>
        <v>24600</v>
      </c>
      <c r="J57" s="68">
        <f t="shared" si="24"/>
        <v>25267621</v>
      </c>
      <c r="K57" s="68">
        <f t="shared" si="24"/>
        <v>884622</v>
      </c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>
        <f>39541741-39088266+2480208+1718395</f>
        <v>4652078</v>
      </c>
    </row>
    <row r="58" spans="1:23" s="17" customFormat="1" ht="15" customHeight="1">
      <c r="A58" s="157" t="s">
        <v>3</v>
      </c>
      <c r="B58" s="158"/>
      <c r="C58" s="159"/>
      <c r="D58" s="150"/>
      <c r="E58" s="162"/>
      <c r="F58" s="163"/>
      <c r="G58" s="174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</row>
    <row r="59" spans="1:23" s="17" customFormat="1" ht="15">
      <c r="A59" s="157" t="s">
        <v>11</v>
      </c>
      <c r="B59" s="158"/>
      <c r="C59" s="159"/>
      <c r="D59" s="150"/>
      <c r="E59" s="162"/>
      <c r="F59" s="163"/>
      <c r="G59" s="174"/>
      <c r="H59" s="61">
        <f>SUM(H60:H61)</f>
        <v>26543778</v>
      </c>
      <c r="I59" s="61">
        <f t="shared" ref="I59:K59" si="25">SUM(I60:I61)</f>
        <v>24600</v>
      </c>
      <c r="J59" s="61">
        <f t="shared" si="25"/>
        <v>25267621</v>
      </c>
      <c r="K59" s="61">
        <f t="shared" si="25"/>
        <v>884622</v>
      </c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</row>
    <row r="60" spans="1:23" s="17" customFormat="1" ht="15">
      <c r="A60" s="85"/>
      <c r="B60" s="155" t="s">
        <v>23</v>
      </c>
      <c r="C60" s="156"/>
      <c r="D60" s="150"/>
      <c r="E60" s="162"/>
      <c r="F60" s="163"/>
      <c r="G60" s="174"/>
      <c r="H60" s="61">
        <v>21875621</v>
      </c>
      <c r="I60" s="61">
        <v>0</v>
      </c>
      <c r="J60" s="61">
        <v>21875621</v>
      </c>
      <c r="K60" s="61">
        <v>0</v>
      </c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</row>
    <row r="61" spans="1:23" s="17" customFormat="1" ht="15">
      <c r="A61" s="85"/>
      <c r="B61" s="155" t="s">
        <v>24</v>
      </c>
      <c r="C61" s="156"/>
      <c r="D61" s="151"/>
      <c r="E61" s="164"/>
      <c r="F61" s="165"/>
      <c r="G61" s="175"/>
      <c r="H61" s="61">
        <v>4668157</v>
      </c>
      <c r="I61" s="61">
        <v>24600</v>
      </c>
      <c r="J61" s="61">
        <v>3392000</v>
      </c>
      <c r="K61" s="61">
        <v>884622</v>
      </c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</row>
    <row r="62" spans="1:23" s="17" customFormat="1" ht="135">
      <c r="A62" s="69">
        <v>11</v>
      </c>
      <c r="B62" s="69" t="s">
        <v>172</v>
      </c>
      <c r="C62" s="69" t="s">
        <v>173</v>
      </c>
      <c r="D62" s="149" t="s">
        <v>13</v>
      </c>
      <c r="E62" s="172" t="s">
        <v>29</v>
      </c>
      <c r="F62" s="161"/>
      <c r="G62" s="173" t="s">
        <v>171</v>
      </c>
      <c r="H62" s="68">
        <f>SUM(H63,H67)</f>
        <v>3880493</v>
      </c>
      <c r="I62" s="68">
        <f t="shared" ref="I62:J62" si="26">SUM(I63,I67)</f>
        <v>1255229</v>
      </c>
      <c r="J62" s="68">
        <f t="shared" si="26"/>
        <v>1452628</v>
      </c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>
        <f>1652005-218482+19105</f>
        <v>1452628</v>
      </c>
    </row>
    <row r="63" spans="1:23" s="17" customFormat="1" ht="15" customHeight="1">
      <c r="A63" s="157" t="s">
        <v>12</v>
      </c>
      <c r="B63" s="158"/>
      <c r="C63" s="159"/>
      <c r="D63" s="150"/>
      <c r="E63" s="162"/>
      <c r="F63" s="163"/>
      <c r="G63" s="174"/>
      <c r="H63" s="61">
        <f>SUM(H64:H66)</f>
        <v>3818385</v>
      </c>
      <c r="I63" s="61">
        <f t="shared" ref="I63:J63" si="27">SUM(I64:I66)</f>
        <v>1219709</v>
      </c>
      <c r="J63" s="61">
        <f t="shared" si="27"/>
        <v>1432628</v>
      </c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</row>
    <row r="64" spans="1:23" s="17" customFormat="1" ht="15">
      <c r="A64" s="85"/>
      <c r="B64" s="155" t="s">
        <v>23</v>
      </c>
      <c r="C64" s="156"/>
      <c r="D64" s="150"/>
      <c r="E64" s="162"/>
      <c r="F64" s="163"/>
      <c r="G64" s="174"/>
      <c r="H64" s="61">
        <v>3245627</v>
      </c>
      <c r="I64" s="61">
        <v>1036753</v>
      </c>
      <c r="J64" s="61">
        <v>1217733</v>
      </c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</row>
    <row r="65" spans="1:23" s="17" customFormat="1" ht="15">
      <c r="A65" s="85"/>
      <c r="B65" s="155" t="s">
        <v>25</v>
      </c>
      <c r="C65" s="156"/>
      <c r="D65" s="150"/>
      <c r="E65" s="162"/>
      <c r="F65" s="163"/>
      <c r="G65" s="174"/>
      <c r="H65" s="61">
        <v>58207</v>
      </c>
      <c r="I65" s="61">
        <v>17179</v>
      </c>
      <c r="J65" s="61">
        <v>28626</v>
      </c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</row>
    <row r="66" spans="1:23" s="17" customFormat="1" ht="15">
      <c r="A66" s="85"/>
      <c r="B66" s="155" t="s">
        <v>24</v>
      </c>
      <c r="C66" s="156"/>
      <c r="D66" s="150"/>
      <c r="E66" s="162"/>
      <c r="F66" s="163"/>
      <c r="G66" s="174"/>
      <c r="H66" s="61">
        <v>514551</v>
      </c>
      <c r="I66" s="61">
        <v>165777</v>
      </c>
      <c r="J66" s="61">
        <v>186269</v>
      </c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</row>
    <row r="67" spans="1:23" s="17" customFormat="1" ht="15">
      <c r="A67" s="157" t="s">
        <v>11</v>
      </c>
      <c r="B67" s="158"/>
      <c r="C67" s="159"/>
      <c r="D67" s="150"/>
      <c r="E67" s="162"/>
      <c r="F67" s="163"/>
      <c r="G67" s="174"/>
      <c r="H67" s="61">
        <f>SUM(H68:H69)</f>
        <v>62108</v>
      </c>
      <c r="I67" s="61">
        <f>SUM(I68:I69)</f>
        <v>35520</v>
      </c>
      <c r="J67" s="61">
        <f>SUM(J68:J69)</f>
        <v>20000</v>
      </c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</row>
    <row r="68" spans="1:23" s="17" customFormat="1" ht="15">
      <c r="A68" s="85"/>
      <c r="B68" s="155" t="s">
        <v>23</v>
      </c>
      <c r="C68" s="156"/>
      <c r="D68" s="150"/>
      <c r="E68" s="162"/>
      <c r="F68" s="163"/>
      <c r="G68" s="174"/>
      <c r="H68" s="61">
        <v>52792</v>
      </c>
      <c r="I68" s="61">
        <v>30192</v>
      </c>
      <c r="J68" s="61">
        <v>17000</v>
      </c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</row>
    <row r="69" spans="1:23" s="17" customFormat="1" ht="15">
      <c r="A69" s="85"/>
      <c r="B69" s="155" t="s">
        <v>24</v>
      </c>
      <c r="C69" s="156"/>
      <c r="D69" s="151"/>
      <c r="E69" s="164"/>
      <c r="F69" s="165"/>
      <c r="G69" s="175"/>
      <c r="H69" s="61">
        <v>9316</v>
      </c>
      <c r="I69" s="61">
        <v>5328</v>
      </c>
      <c r="J69" s="61">
        <v>3000</v>
      </c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</row>
    <row r="70" spans="1:23" s="17" customFormat="1" ht="135">
      <c r="A70" s="69">
        <v>12</v>
      </c>
      <c r="B70" s="69" t="s">
        <v>113</v>
      </c>
      <c r="C70" s="69" t="s">
        <v>51</v>
      </c>
      <c r="D70" s="149" t="s">
        <v>145</v>
      </c>
      <c r="E70" s="172" t="s">
        <v>41</v>
      </c>
      <c r="F70" s="161"/>
      <c r="G70" s="173" t="s">
        <v>114</v>
      </c>
      <c r="H70" s="68">
        <f>SUM(H71,H75)</f>
        <v>2412916</v>
      </c>
      <c r="I70" s="68">
        <f t="shared" ref="I70:Q70" si="28">SUM(I71,I75)</f>
        <v>301185</v>
      </c>
      <c r="J70" s="68">
        <f t="shared" si="28"/>
        <v>305185</v>
      </c>
      <c r="K70" s="68">
        <f t="shared" si="28"/>
        <v>305185</v>
      </c>
      <c r="L70" s="68">
        <f t="shared" si="28"/>
        <v>284733</v>
      </c>
      <c r="M70" s="68">
        <f t="shared" si="28"/>
        <v>231732</v>
      </c>
      <c r="N70" s="68">
        <f t="shared" si="28"/>
        <v>231732</v>
      </c>
      <c r="O70" s="68">
        <f t="shared" si="28"/>
        <v>231732</v>
      </c>
      <c r="P70" s="68">
        <f t="shared" si="28"/>
        <v>231732</v>
      </c>
      <c r="Q70" s="68">
        <f t="shared" si="28"/>
        <v>231732</v>
      </c>
      <c r="R70" s="68"/>
      <c r="S70" s="68"/>
      <c r="T70" s="68"/>
      <c r="U70" s="68"/>
      <c r="V70" s="68"/>
      <c r="W70" s="68">
        <f>854197+40906</f>
        <v>895103</v>
      </c>
    </row>
    <row r="71" spans="1:23" s="17" customFormat="1" ht="15">
      <c r="A71" s="157" t="s">
        <v>12</v>
      </c>
      <c r="B71" s="158"/>
      <c r="C71" s="159"/>
      <c r="D71" s="150"/>
      <c r="E71" s="162"/>
      <c r="F71" s="163"/>
      <c r="G71" s="174"/>
      <c r="H71" s="61">
        <f>SUM(H72:H74)</f>
        <v>2412916</v>
      </c>
      <c r="I71" s="61">
        <f t="shared" ref="I71:Q71" si="29">SUM(I72:I74)</f>
        <v>301185</v>
      </c>
      <c r="J71" s="61">
        <f t="shared" si="29"/>
        <v>305185</v>
      </c>
      <c r="K71" s="61">
        <f t="shared" si="29"/>
        <v>305185</v>
      </c>
      <c r="L71" s="61">
        <f t="shared" si="29"/>
        <v>284733</v>
      </c>
      <c r="M71" s="61">
        <f t="shared" si="29"/>
        <v>231732</v>
      </c>
      <c r="N71" s="61">
        <f t="shared" si="29"/>
        <v>231732</v>
      </c>
      <c r="O71" s="61">
        <f t="shared" si="29"/>
        <v>231732</v>
      </c>
      <c r="P71" s="61">
        <f t="shared" si="29"/>
        <v>231732</v>
      </c>
      <c r="Q71" s="61">
        <f t="shared" si="29"/>
        <v>231732</v>
      </c>
      <c r="R71" s="61"/>
      <c r="S71" s="61"/>
      <c r="T71" s="61"/>
      <c r="U71" s="61"/>
      <c r="V71" s="61"/>
      <c r="W71" s="61"/>
    </row>
    <row r="72" spans="1:23" s="17" customFormat="1" ht="15">
      <c r="A72" s="85"/>
      <c r="B72" s="155" t="s">
        <v>23</v>
      </c>
      <c r="C72" s="156"/>
      <c r="D72" s="150"/>
      <c r="E72" s="162"/>
      <c r="F72" s="163"/>
      <c r="G72" s="174"/>
      <c r="H72" s="61">
        <v>945106</v>
      </c>
      <c r="I72" s="61">
        <v>256007</v>
      </c>
      <c r="J72" s="61">
        <v>259407</v>
      </c>
      <c r="K72" s="61">
        <v>259407</v>
      </c>
      <c r="L72" s="61">
        <v>121012</v>
      </c>
      <c r="M72" s="61">
        <v>0</v>
      </c>
      <c r="N72" s="61">
        <v>0</v>
      </c>
      <c r="O72" s="61">
        <v>0</v>
      </c>
      <c r="P72" s="61">
        <v>0</v>
      </c>
      <c r="Q72" s="61">
        <v>0</v>
      </c>
      <c r="R72" s="61"/>
      <c r="S72" s="61"/>
      <c r="T72" s="61"/>
      <c r="U72" s="61"/>
      <c r="V72" s="61"/>
      <c r="W72" s="61"/>
    </row>
    <row r="73" spans="1:23" s="17" customFormat="1" ht="15">
      <c r="A73" s="85"/>
      <c r="B73" s="155" t="s">
        <v>25</v>
      </c>
      <c r="C73" s="156"/>
      <c r="D73" s="150"/>
      <c r="E73" s="162"/>
      <c r="F73" s="163"/>
      <c r="G73" s="174"/>
      <c r="H73" s="61">
        <v>1301026</v>
      </c>
      <c r="I73" s="61">
        <v>0</v>
      </c>
      <c r="J73" s="61">
        <v>0</v>
      </c>
      <c r="K73" s="61">
        <v>0</v>
      </c>
      <c r="L73" s="61">
        <v>142366</v>
      </c>
      <c r="M73" s="61">
        <v>231732</v>
      </c>
      <c r="N73" s="61">
        <v>231732</v>
      </c>
      <c r="O73" s="61">
        <v>231732</v>
      </c>
      <c r="P73" s="61">
        <v>231732</v>
      </c>
      <c r="Q73" s="61">
        <v>231732</v>
      </c>
      <c r="R73" s="61"/>
      <c r="S73" s="61"/>
      <c r="T73" s="61"/>
      <c r="U73" s="61"/>
      <c r="V73" s="61"/>
      <c r="W73" s="61"/>
    </row>
    <row r="74" spans="1:23" s="17" customFormat="1" ht="15">
      <c r="A74" s="85"/>
      <c r="B74" s="155" t="s">
        <v>24</v>
      </c>
      <c r="C74" s="156"/>
      <c r="D74" s="150"/>
      <c r="E74" s="162"/>
      <c r="F74" s="163"/>
      <c r="G74" s="174"/>
      <c r="H74" s="61">
        <v>166784</v>
      </c>
      <c r="I74" s="61">
        <v>45178</v>
      </c>
      <c r="J74" s="61">
        <v>45778</v>
      </c>
      <c r="K74" s="61">
        <v>45778</v>
      </c>
      <c r="L74" s="61">
        <v>21355</v>
      </c>
      <c r="M74" s="61">
        <v>0</v>
      </c>
      <c r="N74" s="61">
        <v>0</v>
      </c>
      <c r="O74" s="61">
        <v>0</v>
      </c>
      <c r="P74" s="61">
        <v>0</v>
      </c>
      <c r="Q74" s="61">
        <v>0</v>
      </c>
      <c r="R74" s="61"/>
      <c r="S74" s="61"/>
      <c r="T74" s="61"/>
      <c r="U74" s="61"/>
      <c r="V74" s="61"/>
      <c r="W74" s="61"/>
    </row>
    <row r="75" spans="1:23" s="17" customFormat="1" ht="15">
      <c r="A75" s="157" t="s">
        <v>4</v>
      </c>
      <c r="B75" s="158"/>
      <c r="C75" s="159"/>
      <c r="D75" s="151"/>
      <c r="E75" s="164"/>
      <c r="F75" s="165"/>
      <c r="G75" s="175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</row>
    <row r="76" spans="1:23" s="17" customFormat="1" ht="120">
      <c r="A76" s="69">
        <v>13</v>
      </c>
      <c r="B76" s="69" t="s">
        <v>165</v>
      </c>
      <c r="C76" s="69" t="s">
        <v>187</v>
      </c>
      <c r="D76" s="149" t="s">
        <v>145</v>
      </c>
      <c r="E76" s="172" t="s">
        <v>36</v>
      </c>
      <c r="F76" s="161"/>
      <c r="G76" s="173" t="s">
        <v>115</v>
      </c>
      <c r="H76" s="68">
        <f>SUM(H77,H80)</f>
        <v>70571394</v>
      </c>
      <c r="I76" s="68">
        <f t="shared" ref="I76:K76" si="30">SUM(I77,I80)</f>
        <v>26324</v>
      </c>
      <c r="J76" s="68">
        <f t="shared" si="30"/>
        <v>10285000</v>
      </c>
      <c r="K76" s="68">
        <f t="shared" si="30"/>
        <v>60249000</v>
      </c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>
        <f>50688560-24653560+43170000+1329000</f>
        <v>70534000</v>
      </c>
    </row>
    <row r="77" spans="1:23" s="17" customFormat="1" ht="15">
      <c r="A77" s="157" t="s">
        <v>12</v>
      </c>
      <c r="B77" s="158"/>
      <c r="C77" s="159"/>
      <c r="D77" s="150"/>
      <c r="E77" s="162"/>
      <c r="F77" s="163"/>
      <c r="G77" s="174"/>
      <c r="H77" s="61">
        <f>SUM(H78:H79)</f>
        <v>327394</v>
      </c>
      <c r="I77" s="61">
        <f>SUM(I78:I79)</f>
        <v>26324</v>
      </c>
      <c r="J77" s="61">
        <f>SUM(J78:J79)</f>
        <v>126000</v>
      </c>
      <c r="K77" s="61">
        <f>SUM(K78:K79)</f>
        <v>164000</v>
      </c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</row>
    <row r="78" spans="1:23" s="17" customFormat="1" ht="15">
      <c r="A78" s="85"/>
      <c r="B78" s="155" t="s">
        <v>23</v>
      </c>
      <c r="C78" s="156"/>
      <c r="D78" s="150"/>
      <c r="E78" s="162"/>
      <c r="F78" s="163"/>
      <c r="G78" s="174"/>
      <c r="H78" s="61">
        <v>274696</v>
      </c>
      <c r="I78" s="61">
        <v>18919</v>
      </c>
      <c r="J78" s="61">
        <v>107100</v>
      </c>
      <c r="K78" s="61">
        <v>139400</v>
      </c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</row>
    <row r="79" spans="1:23" s="17" customFormat="1" ht="15">
      <c r="A79" s="85"/>
      <c r="B79" s="155" t="s">
        <v>25</v>
      </c>
      <c r="C79" s="156"/>
      <c r="D79" s="150"/>
      <c r="E79" s="162"/>
      <c r="F79" s="163"/>
      <c r="G79" s="174"/>
      <c r="H79" s="61">
        <v>52698</v>
      </c>
      <c r="I79" s="61">
        <v>7405</v>
      </c>
      <c r="J79" s="61">
        <v>18900</v>
      </c>
      <c r="K79" s="61">
        <v>24600</v>
      </c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</row>
    <row r="80" spans="1:23" s="17" customFormat="1" ht="15">
      <c r="A80" s="157" t="s">
        <v>11</v>
      </c>
      <c r="B80" s="158"/>
      <c r="C80" s="159"/>
      <c r="D80" s="150"/>
      <c r="E80" s="162"/>
      <c r="F80" s="163"/>
      <c r="G80" s="174"/>
      <c r="H80" s="61">
        <f>SUM(H81:H83)</f>
        <v>70244000</v>
      </c>
      <c r="I80" s="61">
        <f>SUM(I81:I83)</f>
        <v>0</v>
      </c>
      <c r="J80" s="61">
        <f>SUM(J81:J83)</f>
        <v>10159000</v>
      </c>
      <c r="K80" s="61">
        <f>SUM(K81:K83)</f>
        <v>60085000</v>
      </c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</row>
    <row r="81" spans="1:23" s="17" customFormat="1" ht="15">
      <c r="A81" s="85"/>
      <c r="B81" s="155" t="s">
        <v>23</v>
      </c>
      <c r="C81" s="156"/>
      <c r="D81" s="150"/>
      <c r="E81" s="162"/>
      <c r="F81" s="163"/>
      <c r="G81" s="174"/>
      <c r="H81" s="61">
        <v>59707400</v>
      </c>
      <c r="I81" s="61"/>
      <c r="J81" s="61">
        <v>8635150</v>
      </c>
      <c r="K81" s="61">
        <v>51072250</v>
      </c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</row>
    <row r="82" spans="1:23" s="17" customFormat="1" ht="15">
      <c r="A82" s="85"/>
      <c r="B82" s="155" t="s">
        <v>25</v>
      </c>
      <c r="C82" s="156"/>
      <c r="D82" s="150"/>
      <c r="E82" s="162"/>
      <c r="F82" s="163"/>
      <c r="G82" s="174"/>
      <c r="H82" s="113">
        <v>3475874</v>
      </c>
      <c r="I82" s="61"/>
      <c r="J82" s="61">
        <v>0</v>
      </c>
      <c r="K82" s="61">
        <v>3475874</v>
      </c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</row>
    <row r="83" spans="1:23" s="17" customFormat="1" ht="15">
      <c r="A83" s="85"/>
      <c r="B83" s="155" t="s">
        <v>153</v>
      </c>
      <c r="C83" s="156"/>
      <c r="D83" s="151"/>
      <c r="E83" s="164"/>
      <c r="F83" s="165"/>
      <c r="G83" s="175"/>
      <c r="H83" s="61">
        <v>7060726</v>
      </c>
      <c r="I83" s="61"/>
      <c r="J83" s="61">
        <v>1523850</v>
      </c>
      <c r="K83" s="61">
        <v>5536876</v>
      </c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</row>
    <row r="84" spans="1:23" s="17" customFormat="1" ht="135">
      <c r="A84" s="69">
        <v>14</v>
      </c>
      <c r="B84" s="69" t="s">
        <v>162</v>
      </c>
      <c r="C84" s="69" t="s">
        <v>187</v>
      </c>
      <c r="D84" s="149" t="s">
        <v>145</v>
      </c>
      <c r="E84" s="176" t="s">
        <v>32</v>
      </c>
      <c r="F84" s="161"/>
      <c r="G84" s="173" t="s">
        <v>115</v>
      </c>
      <c r="H84" s="68">
        <f>SUM(H85,H87)</f>
        <v>18380000</v>
      </c>
      <c r="I84" s="68">
        <f t="shared" ref="I84:L84" si="31">SUM(I85,I87)</f>
        <v>0</v>
      </c>
      <c r="J84" s="68">
        <f t="shared" si="31"/>
        <v>205000</v>
      </c>
      <c r="K84" s="68">
        <f t="shared" si="31"/>
        <v>95000</v>
      </c>
      <c r="L84" s="68">
        <f t="shared" si="31"/>
        <v>18080000</v>
      </c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>
        <f>200000+17975000+205000</f>
        <v>18380000</v>
      </c>
    </row>
    <row r="85" spans="1:23" s="17" customFormat="1" ht="15">
      <c r="A85" s="157" t="s">
        <v>12</v>
      </c>
      <c r="B85" s="158"/>
      <c r="C85" s="159"/>
      <c r="D85" s="150"/>
      <c r="E85" s="162"/>
      <c r="F85" s="163"/>
      <c r="G85" s="174"/>
      <c r="H85" s="61">
        <f>H86</f>
        <v>0</v>
      </c>
      <c r="I85" s="61">
        <f t="shared" ref="I85:L85" si="32">I86</f>
        <v>0</v>
      </c>
      <c r="J85" s="61">
        <f t="shared" si="32"/>
        <v>0</v>
      </c>
      <c r="K85" s="61">
        <f t="shared" si="32"/>
        <v>0</v>
      </c>
      <c r="L85" s="61">
        <f t="shared" si="32"/>
        <v>0</v>
      </c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</row>
    <row r="86" spans="1:23" s="17" customFormat="1" ht="15">
      <c r="A86" s="85"/>
      <c r="B86" s="155" t="s">
        <v>25</v>
      </c>
      <c r="C86" s="156"/>
      <c r="D86" s="150"/>
      <c r="E86" s="162"/>
      <c r="F86" s="163"/>
      <c r="G86" s="174"/>
      <c r="H86" s="61">
        <v>0</v>
      </c>
      <c r="I86" s="61">
        <v>0</v>
      </c>
      <c r="J86" s="61"/>
      <c r="K86" s="61">
        <v>0</v>
      </c>
      <c r="L86" s="61">
        <v>0</v>
      </c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</row>
    <row r="87" spans="1:23" s="17" customFormat="1" ht="15">
      <c r="A87" s="157" t="s">
        <v>11</v>
      </c>
      <c r="B87" s="158"/>
      <c r="C87" s="159"/>
      <c r="D87" s="150"/>
      <c r="E87" s="162"/>
      <c r="F87" s="163"/>
      <c r="G87" s="174"/>
      <c r="H87" s="61">
        <f>SUM(H88:H91)</f>
        <v>18380000</v>
      </c>
      <c r="I87" s="61">
        <f t="shared" ref="I87:L87" si="33">SUM(I88:I91)</f>
        <v>0</v>
      </c>
      <c r="J87" s="61">
        <f t="shared" si="33"/>
        <v>205000</v>
      </c>
      <c r="K87" s="61">
        <f t="shared" si="33"/>
        <v>95000</v>
      </c>
      <c r="L87" s="61">
        <f t="shared" si="33"/>
        <v>18080000</v>
      </c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</row>
    <row r="88" spans="1:23" s="17" customFormat="1" ht="15">
      <c r="A88" s="85"/>
      <c r="B88" s="155" t="s">
        <v>23</v>
      </c>
      <c r="C88" s="156"/>
      <c r="D88" s="150"/>
      <c r="E88" s="162"/>
      <c r="F88" s="163"/>
      <c r="G88" s="174"/>
      <c r="H88" s="61">
        <v>7380000</v>
      </c>
      <c r="I88" s="61"/>
      <c r="J88" s="61">
        <v>0</v>
      </c>
      <c r="K88" s="61">
        <v>0</v>
      </c>
      <c r="L88" s="61">
        <v>7380000</v>
      </c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</row>
    <row r="89" spans="1:23" s="17" customFormat="1" ht="15">
      <c r="A89" s="85"/>
      <c r="B89" s="155" t="s">
        <v>25</v>
      </c>
      <c r="C89" s="156"/>
      <c r="D89" s="150"/>
      <c r="E89" s="162"/>
      <c r="F89" s="163"/>
      <c r="G89" s="174"/>
      <c r="H89" s="61">
        <v>707630</v>
      </c>
      <c r="I89" s="61"/>
      <c r="J89" s="61">
        <v>205000</v>
      </c>
      <c r="K89" s="61">
        <v>95000</v>
      </c>
      <c r="L89" s="61">
        <v>407630</v>
      </c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</row>
    <row r="90" spans="1:23" s="17" customFormat="1" ht="15">
      <c r="A90" s="85"/>
      <c r="B90" s="155" t="s">
        <v>24</v>
      </c>
      <c r="C90" s="156"/>
      <c r="D90" s="150"/>
      <c r="E90" s="162"/>
      <c r="F90" s="163"/>
      <c r="G90" s="174"/>
      <c r="H90" s="61">
        <v>6064970</v>
      </c>
      <c r="I90" s="61"/>
      <c r="J90" s="61">
        <v>0</v>
      </c>
      <c r="K90" s="61">
        <v>0</v>
      </c>
      <c r="L90" s="61">
        <v>6064970</v>
      </c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</row>
    <row r="91" spans="1:23" s="17" customFormat="1" ht="15">
      <c r="A91" s="85"/>
      <c r="B91" s="155" t="s">
        <v>153</v>
      </c>
      <c r="C91" s="156"/>
      <c r="D91" s="151"/>
      <c r="E91" s="164"/>
      <c r="F91" s="165"/>
      <c r="G91" s="175"/>
      <c r="H91" s="61">
        <v>4227400</v>
      </c>
      <c r="I91" s="61"/>
      <c r="J91" s="61">
        <v>0</v>
      </c>
      <c r="K91" s="61">
        <v>0</v>
      </c>
      <c r="L91" s="61">
        <v>4227400</v>
      </c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</row>
    <row r="92" spans="1:23" s="17" customFormat="1" ht="75.75" customHeight="1">
      <c r="A92" s="69">
        <v>15</v>
      </c>
      <c r="B92" s="147" t="s">
        <v>58</v>
      </c>
      <c r="C92" s="147" t="s">
        <v>57</v>
      </c>
      <c r="D92" s="149" t="s">
        <v>178</v>
      </c>
      <c r="E92" s="191" t="s">
        <v>36</v>
      </c>
      <c r="F92" s="161"/>
      <c r="G92" s="173" t="s">
        <v>116</v>
      </c>
      <c r="H92" s="68">
        <f>SUM(H93:H94)</f>
        <v>84644842</v>
      </c>
      <c r="I92" s="68">
        <f>SUM(I93:I94)</f>
        <v>6178963</v>
      </c>
      <c r="J92" s="68">
        <f>SUM(J93:J94)</f>
        <v>21272910</v>
      </c>
      <c r="K92" s="68">
        <f>SUM(K93:K94)</f>
        <v>50634966</v>
      </c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>
        <f>17653400-16377+13805169+36829797</f>
        <v>68271989</v>
      </c>
    </row>
    <row r="93" spans="1:23" s="17" customFormat="1" ht="15">
      <c r="A93" s="157" t="s">
        <v>3</v>
      </c>
      <c r="B93" s="158"/>
      <c r="C93" s="159"/>
      <c r="D93" s="150"/>
      <c r="E93" s="162"/>
      <c r="F93" s="163"/>
      <c r="G93" s="174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</row>
    <row r="94" spans="1:23" s="17" customFormat="1" ht="15">
      <c r="A94" s="157" t="s">
        <v>11</v>
      </c>
      <c r="B94" s="158"/>
      <c r="C94" s="159"/>
      <c r="D94" s="150"/>
      <c r="E94" s="162"/>
      <c r="F94" s="163"/>
      <c r="G94" s="174"/>
      <c r="H94" s="61">
        <f>SUM(H95:H97)</f>
        <v>84644842</v>
      </c>
      <c r="I94" s="61">
        <f>SUM(I95:I97)</f>
        <v>6178963</v>
      </c>
      <c r="J94" s="61">
        <f t="shared" ref="J94:K94" si="34">SUM(J95:J97)</f>
        <v>21272910</v>
      </c>
      <c r="K94" s="61">
        <f t="shared" si="34"/>
        <v>50634966</v>
      </c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</row>
    <row r="95" spans="1:23" s="17" customFormat="1" ht="15">
      <c r="A95" s="85"/>
      <c r="B95" s="155" t="s">
        <v>23</v>
      </c>
      <c r="C95" s="156"/>
      <c r="D95" s="150"/>
      <c r="E95" s="162"/>
      <c r="F95" s="163"/>
      <c r="G95" s="174"/>
      <c r="H95" s="61">
        <v>41258512</v>
      </c>
      <c r="I95" s="61">
        <v>5252118</v>
      </c>
      <c r="J95" s="61">
        <v>18081973</v>
      </c>
      <c r="K95" s="61">
        <v>12350119</v>
      </c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</row>
    <row r="96" spans="1:23" s="17" customFormat="1" ht="15">
      <c r="A96" s="85"/>
      <c r="B96" s="155" t="s">
        <v>25</v>
      </c>
      <c r="C96" s="156"/>
      <c r="D96" s="150"/>
      <c r="E96" s="162"/>
      <c r="F96" s="163"/>
      <c r="G96" s="174"/>
      <c r="H96" s="61">
        <v>6589851</v>
      </c>
      <c r="I96" s="61">
        <v>926845</v>
      </c>
      <c r="J96" s="61">
        <v>1352526</v>
      </c>
      <c r="K96" s="61">
        <v>3326779</v>
      </c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</row>
    <row r="97" spans="1:23" s="17" customFormat="1" ht="15">
      <c r="A97" s="85"/>
      <c r="B97" s="155" t="s">
        <v>24</v>
      </c>
      <c r="C97" s="156"/>
      <c r="D97" s="151"/>
      <c r="E97" s="164"/>
      <c r="F97" s="165"/>
      <c r="G97" s="175"/>
      <c r="H97" s="61">
        <v>36796479</v>
      </c>
      <c r="I97" s="61">
        <v>0</v>
      </c>
      <c r="J97" s="61">
        <v>1838411</v>
      </c>
      <c r="K97" s="61">
        <v>34958068</v>
      </c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</row>
    <row r="98" spans="1:23" s="17" customFormat="1" ht="77.25" customHeight="1">
      <c r="A98" s="69">
        <v>16</v>
      </c>
      <c r="B98" s="86" t="s">
        <v>60</v>
      </c>
      <c r="C98" s="69" t="s">
        <v>59</v>
      </c>
      <c r="D98" s="149" t="s">
        <v>178</v>
      </c>
      <c r="E98" s="172" t="s">
        <v>34</v>
      </c>
      <c r="F98" s="161"/>
      <c r="G98" s="173" t="s">
        <v>116</v>
      </c>
      <c r="H98" s="68">
        <f>SUM(H99:H100)</f>
        <v>23571901</v>
      </c>
      <c r="I98" s="68">
        <f t="shared" ref="I98:J98" si="35">SUM(I99:I100)</f>
        <v>10074312</v>
      </c>
      <c r="J98" s="68">
        <f t="shared" si="35"/>
        <v>8070289</v>
      </c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>
        <f>29200000-11401109-17734409</f>
        <v>64482</v>
      </c>
    </row>
    <row r="99" spans="1:23" s="17" customFormat="1" ht="15">
      <c r="A99" s="157" t="s">
        <v>3</v>
      </c>
      <c r="B99" s="158"/>
      <c r="C99" s="159"/>
      <c r="D99" s="150"/>
      <c r="E99" s="162"/>
      <c r="F99" s="163"/>
      <c r="G99" s="174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</row>
    <row r="100" spans="1:23" s="17" customFormat="1" ht="15">
      <c r="A100" s="157" t="s">
        <v>11</v>
      </c>
      <c r="B100" s="158"/>
      <c r="C100" s="159"/>
      <c r="D100" s="150"/>
      <c r="E100" s="162"/>
      <c r="F100" s="163"/>
      <c r="G100" s="174"/>
      <c r="H100" s="61">
        <f>SUM(H101:H102)</f>
        <v>23571901</v>
      </c>
      <c r="I100" s="61">
        <f t="shared" ref="I100:J100" si="36">SUM(I101:I102)</f>
        <v>10074312</v>
      </c>
      <c r="J100" s="61">
        <f t="shared" si="36"/>
        <v>8070289</v>
      </c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</row>
    <row r="101" spans="1:23" s="17" customFormat="1" ht="15">
      <c r="A101" s="85"/>
      <c r="B101" s="155" t="s">
        <v>23</v>
      </c>
      <c r="C101" s="156"/>
      <c r="D101" s="150"/>
      <c r="E101" s="162"/>
      <c r="F101" s="163"/>
      <c r="G101" s="174"/>
      <c r="H101" s="61">
        <v>19792582</v>
      </c>
      <c r="I101" s="61">
        <v>8500000</v>
      </c>
      <c r="J101" s="61">
        <v>6849382</v>
      </c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</row>
    <row r="102" spans="1:23" s="17" customFormat="1" ht="15">
      <c r="A102" s="85"/>
      <c r="B102" s="155" t="s">
        <v>25</v>
      </c>
      <c r="C102" s="156"/>
      <c r="D102" s="151"/>
      <c r="E102" s="164"/>
      <c r="F102" s="165"/>
      <c r="G102" s="175"/>
      <c r="H102" s="61">
        <v>3779319</v>
      </c>
      <c r="I102" s="132">
        <v>1574312</v>
      </c>
      <c r="J102" s="61">
        <v>1220907</v>
      </c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</row>
    <row r="103" spans="1:23" ht="79.5" customHeight="1">
      <c r="A103" s="8">
        <v>17</v>
      </c>
      <c r="B103" s="8" t="s">
        <v>61</v>
      </c>
      <c r="C103" s="8" t="s">
        <v>53</v>
      </c>
      <c r="D103" s="178" t="s">
        <v>178</v>
      </c>
      <c r="E103" s="212" t="s">
        <v>34</v>
      </c>
      <c r="F103" s="213"/>
      <c r="G103" s="209" t="s">
        <v>116</v>
      </c>
      <c r="H103" s="59">
        <f>SUM(H104:H105)</f>
        <v>12000000</v>
      </c>
      <c r="I103" s="59">
        <f t="shared" ref="I103:J103" si="37">SUM(I104:I105)</f>
        <v>5000000</v>
      </c>
      <c r="J103" s="59">
        <f t="shared" si="37"/>
        <v>7000000</v>
      </c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30">
        <f>1000000+10500000-10881250</f>
        <v>618750</v>
      </c>
    </row>
    <row r="104" spans="1:23" ht="15">
      <c r="A104" s="179" t="s">
        <v>3</v>
      </c>
      <c r="B104" s="180"/>
      <c r="C104" s="181"/>
      <c r="D104" s="170"/>
      <c r="E104" s="214"/>
      <c r="F104" s="215"/>
      <c r="G104" s="210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24"/>
    </row>
    <row r="105" spans="1:23" ht="15">
      <c r="A105" s="179" t="s">
        <v>11</v>
      </c>
      <c r="B105" s="180"/>
      <c r="C105" s="181"/>
      <c r="D105" s="170"/>
      <c r="E105" s="214"/>
      <c r="F105" s="215"/>
      <c r="G105" s="210"/>
      <c r="H105" s="57">
        <f>SUM(H106:H108)</f>
        <v>12000000</v>
      </c>
      <c r="I105" s="57">
        <f t="shared" ref="I105:J105" si="38">SUM(I106:I108)</f>
        <v>5000000</v>
      </c>
      <c r="J105" s="57">
        <f t="shared" si="38"/>
        <v>7000000</v>
      </c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24"/>
    </row>
    <row r="106" spans="1:23" ht="15">
      <c r="A106" s="18"/>
      <c r="B106" s="182" t="s">
        <v>23</v>
      </c>
      <c r="C106" s="183"/>
      <c r="D106" s="170"/>
      <c r="E106" s="214"/>
      <c r="F106" s="215"/>
      <c r="G106" s="210"/>
      <c r="H106" s="57">
        <v>6000000</v>
      </c>
      <c r="I106" s="57">
        <v>2500000</v>
      </c>
      <c r="J106" s="57">
        <v>3500000</v>
      </c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24"/>
    </row>
    <row r="107" spans="1:23" ht="15">
      <c r="A107" s="18"/>
      <c r="B107" s="182" t="s">
        <v>25</v>
      </c>
      <c r="C107" s="183"/>
      <c r="D107" s="170"/>
      <c r="E107" s="214"/>
      <c r="F107" s="215"/>
      <c r="G107" s="210"/>
      <c r="H107" s="57">
        <v>600000</v>
      </c>
      <c r="I107" s="57">
        <v>250000</v>
      </c>
      <c r="J107" s="57">
        <v>350000</v>
      </c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24"/>
    </row>
    <row r="108" spans="1:23" s="55" customFormat="1" ht="15">
      <c r="A108" s="63"/>
      <c r="B108" s="182" t="s">
        <v>24</v>
      </c>
      <c r="C108" s="183"/>
      <c r="D108" s="171"/>
      <c r="E108" s="216"/>
      <c r="F108" s="217"/>
      <c r="G108" s="211"/>
      <c r="H108" s="57">
        <v>5400000</v>
      </c>
      <c r="I108" s="57">
        <v>2250000</v>
      </c>
      <c r="J108" s="57">
        <v>3150000</v>
      </c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24"/>
    </row>
    <row r="109" spans="1:23" s="17" customFormat="1" ht="78" customHeight="1">
      <c r="A109" s="69">
        <v>18</v>
      </c>
      <c r="B109" s="77" t="s">
        <v>62</v>
      </c>
      <c r="C109" s="90" t="s">
        <v>53</v>
      </c>
      <c r="D109" s="149" t="s">
        <v>178</v>
      </c>
      <c r="E109" s="172" t="s">
        <v>34</v>
      </c>
      <c r="F109" s="161"/>
      <c r="G109" s="173" t="s">
        <v>116</v>
      </c>
      <c r="H109" s="68">
        <f>SUM(H110:H111)</f>
        <v>43918531</v>
      </c>
      <c r="I109" s="68">
        <f t="shared" ref="I109:J109" si="39">SUM(I110:I111)</f>
        <v>25710931</v>
      </c>
      <c r="J109" s="68">
        <f t="shared" si="39"/>
        <v>17370507</v>
      </c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/>
      <c r="V109" s="68"/>
      <c r="W109" s="68">
        <f>27809600-10439093</f>
        <v>17370507</v>
      </c>
    </row>
    <row r="110" spans="1:23" s="17" customFormat="1" ht="15">
      <c r="A110" s="157" t="s">
        <v>3</v>
      </c>
      <c r="B110" s="158"/>
      <c r="C110" s="159"/>
      <c r="D110" s="150"/>
      <c r="E110" s="162"/>
      <c r="F110" s="163"/>
      <c r="G110" s="174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  <c r="W110" s="61"/>
    </row>
    <row r="111" spans="1:23" s="17" customFormat="1" ht="15">
      <c r="A111" s="157" t="s">
        <v>11</v>
      </c>
      <c r="B111" s="158"/>
      <c r="C111" s="159"/>
      <c r="D111" s="150"/>
      <c r="E111" s="162"/>
      <c r="F111" s="163"/>
      <c r="G111" s="174"/>
      <c r="H111" s="61">
        <f>SUM(H112:H114)</f>
        <v>43918531</v>
      </c>
      <c r="I111" s="61">
        <f t="shared" ref="I111:J111" si="40">SUM(I112:I114)</f>
        <v>25710931</v>
      </c>
      <c r="J111" s="61">
        <f t="shared" si="40"/>
        <v>17370507</v>
      </c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</row>
    <row r="112" spans="1:23" s="17" customFormat="1" ht="15">
      <c r="A112" s="85"/>
      <c r="B112" s="155" t="s">
        <v>23</v>
      </c>
      <c r="C112" s="156"/>
      <c r="D112" s="150"/>
      <c r="E112" s="162"/>
      <c r="F112" s="163"/>
      <c r="G112" s="174"/>
      <c r="H112" s="61">
        <v>35289164</v>
      </c>
      <c r="I112" s="61">
        <v>19812704</v>
      </c>
      <c r="J112" s="61">
        <v>14764931</v>
      </c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</row>
    <row r="113" spans="1:23" s="17" customFormat="1" ht="15">
      <c r="A113" s="85"/>
      <c r="B113" s="155" t="s">
        <v>25</v>
      </c>
      <c r="C113" s="156"/>
      <c r="D113" s="150"/>
      <c r="E113" s="162"/>
      <c r="F113" s="163"/>
      <c r="G113" s="174"/>
      <c r="H113" s="61">
        <v>3829490</v>
      </c>
      <c r="I113" s="61">
        <v>1098350</v>
      </c>
      <c r="J113" s="61">
        <v>2605576</v>
      </c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</row>
    <row r="114" spans="1:23" s="17" customFormat="1" ht="15">
      <c r="A114" s="85"/>
      <c r="B114" s="155" t="s">
        <v>24</v>
      </c>
      <c r="C114" s="156"/>
      <c r="D114" s="151"/>
      <c r="E114" s="164"/>
      <c r="F114" s="165"/>
      <c r="G114" s="175"/>
      <c r="H114" s="61">
        <v>4799877</v>
      </c>
      <c r="I114" s="61">
        <v>4799877</v>
      </c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</row>
    <row r="115" spans="1:23" s="17" customFormat="1" ht="78" customHeight="1">
      <c r="A115" s="69">
        <v>19</v>
      </c>
      <c r="B115" s="147" t="s">
        <v>63</v>
      </c>
      <c r="C115" s="148" t="s">
        <v>53</v>
      </c>
      <c r="D115" s="149" t="s">
        <v>178</v>
      </c>
      <c r="E115" s="160" t="s">
        <v>36</v>
      </c>
      <c r="F115" s="161"/>
      <c r="G115" s="173" t="s">
        <v>116</v>
      </c>
      <c r="H115" s="68">
        <f>SUM(H116:H117)</f>
        <v>53370998</v>
      </c>
      <c r="I115" s="68">
        <f t="shared" ref="I115:K115" si="41">SUM(I116:I117)</f>
        <v>0</v>
      </c>
      <c r="J115" s="68">
        <f t="shared" si="41"/>
        <v>15600000</v>
      </c>
      <c r="K115" s="68">
        <f t="shared" si="41"/>
        <v>37770998</v>
      </c>
      <c r="L115" s="68"/>
      <c r="M115" s="68"/>
      <c r="N115" s="68"/>
      <c r="O115" s="68"/>
      <c r="P115" s="68"/>
      <c r="Q115" s="68"/>
      <c r="R115" s="68"/>
      <c r="S115" s="68"/>
      <c r="T115" s="68"/>
      <c r="U115" s="68"/>
      <c r="V115" s="68"/>
      <c r="W115" s="68">
        <f>15260000+340000+7460000+30310998</f>
        <v>53370998</v>
      </c>
    </row>
    <row r="116" spans="1:23" s="17" customFormat="1" ht="15">
      <c r="A116" s="157" t="s">
        <v>3</v>
      </c>
      <c r="B116" s="158"/>
      <c r="C116" s="159"/>
      <c r="D116" s="150"/>
      <c r="E116" s="162"/>
      <c r="F116" s="163"/>
      <c r="G116" s="174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</row>
    <row r="117" spans="1:23" s="17" customFormat="1" ht="15">
      <c r="A117" s="157" t="s">
        <v>11</v>
      </c>
      <c r="B117" s="158"/>
      <c r="C117" s="159"/>
      <c r="D117" s="150"/>
      <c r="E117" s="162"/>
      <c r="F117" s="163"/>
      <c r="G117" s="174"/>
      <c r="H117" s="61">
        <f>SUM(H118:H120)</f>
        <v>53370998</v>
      </c>
      <c r="I117" s="61">
        <f>SUM(I118:I120)</f>
        <v>0</v>
      </c>
      <c r="J117" s="61">
        <f t="shared" ref="J117:K117" si="42">SUM(J118:J120)</f>
        <v>15600000</v>
      </c>
      <c r="K117" s="61">
        <f t="shared" si="42"/>
        <v>37770998</v>
      </c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</row>
    <row r="118" spans="1:23" s="17" customFormat="1" ht="15">
      <c r="A118" s="85"/>
      <c r="B118" s="155" t="s">
        <v>23</v>
      </c>
      <c r="C118" s="156"/>
      <c r="D118" s="150"/>
      <c r="E118" s="162"/>
      <c r="F118" s="163"/>
      <c r="G118" s="174"/>
      <c r="H118" s="61">
        <v>30359106</v>
      </c>
      <c r="I118" s="61"/>
      <c r="J118" s="61">
        <v>7800000</v>
      </c>
      <c r="K118" s="61">
        <v>22559106</v>
      </c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</row>
    <row r="119" spans="1:23" s="17" customFormat="1" ht="15">
      <c r="A119" s="85"/>
      <c r="B119" s="155" t="s">
        <v>25</v>
      </c>
      <c r="C119" s="156"/>
      <c r="D119" s="150"/>
      <c r="E119" s="162"/>
      <c r="F119" s="163"/>
      <c r="G119" s="174"/>
      <c r="H119" s="61">
        <v>3205993</v>
      </c>
      <c r="I119" s="61"/>
      <c r="J119" s="61">
        <v>780000</v>
      </c>
      <c r="K119" s="61">
        <v>2425993</v>
      </c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</row>
    <row r="120" spans="1:23" s="17" customFormat="1" ht="15">
      <c r="A120" s="85"/>
      <c r="B120" s="155" t="s">
        <v>24</v>
      </c>
      <c r="C120" s="156"/>
      <c r="D120" s="151"/>
      <c r="E120" s="164"/>
      <c r="F120" s="165"/>
      <c r="G120" s="175"/>
      <c r="H120" s="61">
        <v>19805899</v>
      </c>
      <c r="I120" s="61"/>
      <c r="J120" s="61">
        <v>7020000</v>
      </c>
      <c r="K120" s="61">
        <v>12785899</v>
      </c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</row>
    <row r="121" spans="1:23" s="17" customFormat="1" ht="90">
      <c r="A121" s="69">
        <v>20</v>
      </c>
      <c r="B121" s="86" t="s">
        <v>64</v>
      </c>
      <c r="C121" s="87" t="s">
        <v>53</v>
      </c>
      <c r="D121" s="149" t="s">
        <v>178</v>
      </c>
      <c r="E121" s="172" t="s">
        <v>34</v>
      </c>
      <c r="F121" s="161"/>
      <c r="G121" s="173" t="s">
        <v>116</v>
      </c>
      <c r="H121" s="68">
        <f>SUM(H122:H123)</f>
        <v>121605748</v>
      </c>
      <c r="I121" s="68">
        <f t="shared" ref="I121:J121" si="43">SUM(I122:I123)</f>
        <v>27000000</v>
      </c>
      <c r="J121" s="68">
        <f t="shared" si="43"/>
        <v>94605748</v>
      </c>
      <c r="K121" s="68"/>
      <c r="L121" s="68"/>
      <c r="M121" s="68"/>
      <c r="N121" s="68"/>
      <c r="O121" s="68"/>
      <c r="P121" s="68"/>
      <c r="Q121" s="68"/>
      <c r="R121" s="68"/>
      <c r="S121" s="68"/>
      <c r="T121" s="68"/>
      <c r="U121" s="68"/>
      <c r="V121" s="68"/>
      <c r="W121" s="68">
        <f>55000000+500000+39105748</f>
        <v>94605748</v>
      </c>
    </row>
    <row r="122" spans="1:23" s="17" customFormat="1" ht="15">
      <c r="A122" s="157" t="s">
        <v>3</v>
      </c>
      <c r="B122" s="158"/>
      <c r="C122" s="159"/>
      <c r="D122" s="150"/>
      <c r="E122" s="162"/>
      <c r="F122" s="163"/>
      <c r="G122" s="174"/>
      <c r="H122" s="61"/>
      <c r="I122" s="61"/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</row>
    <row r="123" spans="1:23" s="17" customFormat="1" ht="15">
      <c r="A123" s="157" t="s">
        <v>11</v>
      </c>
      <c r="B123" s="158"/>
      <c r="C123" s="159"/>
      <c r="D123" s="150"/>
      <c r="E123" s="162"/>
      <c r="F123" s="163"/>
      <c r="G123" s="174"/>
      <c r="H123" s="61">
        <f>SUM(H124:H126)</f>
        <v>121605748</v>
      </c>
      <c r="I123" s="61">
        <f t="shared" ref="I123:J123" si="44">SUM(I124:I126)</f>
        <v>27000000</v>
      </c>
      <c r="J123" s="61">
        <f t="shared" si="44"/>
        <v>94605748</v>
      </c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</row>
    <row r="124" spans="1:23" s="17" customFormat="1" ht="15">
      <c r="A124" s="85"/>
      <c r="B124" s="155" t="s">
        <v>23</v>
      </c>
      <c r="C124" s="156"/>
      <c r="D124" s="150"/>
      <c r="E124" s="162"/>
      <c r="F124" s="163"/>
      <c r="G124" s="174"/>
      <c r="H124" s="61">
        <v>91492473</v>
      </c>
      <c r="I124" s="61">
        <v>13500000</v>
      </c>
      <c r="J124" s="61">
        <v>77992473</v>
      </c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</row>
    <row r="125" spans="1:23" s="17" customFormat="1" ht="15">
      <c r="A125" s="85"/>
      <c r="B125" s="155" t="s">
        <v>25</v>
      </c>
      <c r="C125" s="156"/>
      <c r="D125" s="150"/>
      <c r="E125" s="162"/>
      <c r="F125" s="163"/>
      <c r="G125" s="174"/>
      <c r="H125" s="61">
        <v>6080288</v>
      </c>
      <c r="I125" s="61">
        <v>1350000</v>
      </c>
      <c r="J125" s="61">
        <v>4730288</v>
      </c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</row>
    <row r="126" spans="1:23" s="17" customFormat="1" ht="15">
      <c r="A126" s="85"/>
      <c r="B126" s="155" t="s">
        <v>24</v>
      </c>
      <c r="C126" s="156"/>
      <c r="D126" s="151"/>
      <c r="E126" s="164"/>
      <c r="F126" s="165"/>
      <c r="G126" s="175"/>
      <c r="H126" s="61">
        <v>24032987</v>
      </c>
      <c r="I126" s="61">
        <v>12150000</v>
      </c>
      <c r="J126" s="61">
        <v>11882987</v>
      </c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</row>
    <row r="127" spans="1:23" s="17" customFormat="1" ht="138.75" customHeight="1">
      <c r="A127" s="69">
        <v>21</v>
      </c>
      <c r="B127" s="147" t="s">
        <v>186</v>
      </c>
      <c r="C127" s="148" t="s">
        <v>53</v>
      </c>
      <c r="D127" s="149" t="s">
        <v>178</v>
      </c>
      <c r="E127" s="172" t="s">
        <v>170</v>
      </c>
      <c r="F127" s="161"/>
      <c r="G127" s="173" t="s">
        <v>116</v>
      </c>
      <c r="H127" s="68">
        <f>SUM(H128:H129)</f>
        <v>41859205</v>
      </c>
      <c r="I127" s="68">
        <f t="shared" ref="I127:L127" si="45">SUM(I128:I129)</f>
        <v>300000</v>
      </c>
      <c r="J127" s="68">
        <f t="shared" si="45"/>
        <v>2400000</v>
      </c>
      <c r="K127" s="68">
        <f t="shared" si="45"/>
        <v>18000000</v>
      </c>
      <c r="L127" s="68">
        <f t="shared" si="45"/>
        <v>21159205</v>
      </c>
      <c r="M127" s="68"/>
      <c r="N127" s="68"/>
      <c r="O127" s="68"/>
      <c r="P127" s="68"/>
      <c r="Q127" s="68"/>
      <c r="R127" s="68"/>
      <c r="S127" s="68"/>
      <c r="T127" s="68"/>
      <c r="U127" s="68"/>
      <c r="V127" s="68"/>
      <c r="W127" s="68">
        <f>108700000-67140795</f>
        <v>41559205</v>
      </c>
    </row>
    <row r="128" spans="1:23" s="17" customFormat="1" ht="15">
      <c r="A128" s="152" t="s">
        <v>3</v>
      </c>
      <c r="B128" s="153"/>
      <c r="C128" s="154"/>
      <c r="D128" s="150"/>
      <c r="E128" s="162"/>
      <c r="F128" s="163"/>
      <c r="G128" s="174"/>
      <c r="H128" s="61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</row>
    <row r="129" spans="1:23" s="17" customFormat="1" ht="15">
      <c r="A129" s="152" t="s">
        <v>11</v>
      </c>
      <c r="B129" s="153"/>
      <c r="C129" s="154"/>
      <c r="D129" s="150"/>
      <c r="E129" s="162"/>
      <c r="F129" s="163"/>
      <c r="G129" s="174"/>
      <c r="H129" s="61">
        <f>SUM(H130:H132)</f>
        <v>41859205</v>
      </c>
      <c r="I129" s="61">
        <f t="shared" ref="I129:L129" si="46">SUM(I130:I132)</f>
        <v>300000</v>
      </c>
      <c r="J129" s="61">
        <f t="shared" si="46"/>
        <v>2400000</v>
      </c>
      <c r="K129" s="61">
        <f t="shared" si="46"/>
        <v>18000000</v>
      </c>
      <c r="L129" s="61">
        <f t="shared" si="46"/>
        <v>21159205</v>
      </c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</row>
    <row r="130" spans="1:23" s="17" customFormat="1" ht="15">
      <c r="A130" s="85"/>
      <c r="B130" s="184" t="s">
        <v>23</v>
      </c>
      <c r="C130" s="185"/>
      <c r="D130" s="150"/>
      <c r="E130" s="162"/>
      <c r="F130" s="163"/>
      <c r="G130" s="174"/>
      <c r="H130" s="61">
        <v>29865569</v>
      </c>
      <c r="I130" s="61"/>
      <c r="J130" s="61">
        <v>1815603</v>
      </c>
      <c r="K130" s="61">
        <v>13617021</v>
      </c>
      <c r="L130" s="61">
        <v>14432945</v>
      </c>
      <c r="M130" s="88"/>
      <c r="N130" s="88"/>
      <c r="O130" s="88"/>
      <c r="P130" s="88"/>
      <c r="Q130" s="88"/>
      <c r="R130" s="88"/>
      <c r="S130" s="88"/>
      <c r="T130" s="88"/>
      <c r="U130" s="88"/>
      <c r="V130" s="88"/>
      <c r="W130" s="88"/>
    </row>
    <row r="131" spans="1:23" s="17" customFormat="1" ht="15">
      <c r="A131" s="85"/>
      <c r="B131" s="184" t="s">
        <v>25</v>
      </c>
      <c r="C131" s="185"/>
      <c r="D131" s="150"/>
      <c r="E131" s="162"/>
      <c r="F131" s="163"/>
      <c r="G131" s="174"/>
      <c r="H131" s="61">
        <v>4527244</v>
      </c>
      <c r="I131" s="61">
        <v>300000</v>
      </c>
      <c r="J131" s="61">
        <v>130496</v>
      </c>
      <c r="K131" s="61">
        <v>978724</v>
      </c>
      <c r="L131" s="61">
        <v>3118024</v>
      </c>
      <c r="M131" s="88"/>
      <c r="N131" s="88"/>
      <c r="O131" s="88"/>
      <c r="P131" s="88"/>
      <c r="Q131" s="88"/>
      <c r="R131" s="88"/>
      <c r="S131" s="88"/>
      <c r="T131" s="88"/>
      <c r="U131" s="88"/>
      <c r="V131" s="88"/>
      <c r="W131" s="88"/>
    </row>
    <row r="132" spans="1:23" s="17" customFormat="1" ht="15">
      <c r="A132" s="99"/>
      <c r="B132" s="155" t="s">
        <v>24</v>
      </c>
      <c r="C132" s="156"/>
      <c r="D132" s="151"/>
      <c r="E132" s="164"/>
      <c r="F132" s="165"/>
      <c r="G132" s="175"/>
      <c r="H132" s="61">
        <v>7466392</v>
      </c>
      <c r="I132" s="61"/>
      <c r="J132" s="61">
        <v>453901</v>
      </c>
      <c r="K132" s="61">
        <v>3404255</v>
      </c>
      <c r="L132" s="61">
        <v>3608236</v>
      </c>
      <c r="M132" s="88"/>
      <c r="N132" s="88"/>
      <c r="O132" s="88"/>
      <c r="P132" s="88"/>
      <c r="Q132" s="88"/>
      <c r="R132" s="88"/>
      <c r="S132" s="88"/>
      <c r="T132" s="88"/>
      <c r="U132" s="88"/>
      <c r="V132" s="88"/>
      <c r="W132" s="88"/>
    </row>
    <row r="133" spans="1:23" s="17" customFormat="1" ht="75">
      <c r="A133" s="69">
        <v>22</v>
      </c>
      <c r="B133" s="69" t="s">
        <v>66</v>
      </c>
      <c r="C133" s="87" t="s">
        <v>65</v>
      </c>
      <c r="D133" s="149" t="s">
        <v>178</v>
      </c>
      <c r="E133" s="160" t="s">
        <v>255</v>
      </c>
      <c r="F133" s="161"/>
      <c r="G133" s="173" t="s">
        <v>116</v>
      </c>
      <c r="H133" s="68">
        <f>SUM(H134:H135)</f>
        <v>236800998</v>
      </c>
      <c r="I133" s="68">
        <f t="shared" ref="I133:K133" si="47">SUM(I134:I135)</f>
        <v>21346399</v>
      </c>
      <c r="J133" s="68">
        <f t="shared" si="47"/>
        <v>114300000</v>
      </c>
      <c r="K133" s="68">
        <f t="shared" si="47"/>
        <v>96328791</v>
      </c>
      <c r="L133" s="68"/>
      <c r="M133" s="68"/>
      <c r="N133" s="68"/>
      <c r="O133" s="68"/>
      <c r="P133" s="68"/>
      <c r="Q133" s="68"/>
      <c r="R133" s="68"/>
      <c r="S133" s="68"/>
      <c r="T133" s="68"/>
      <c r="U133" s="68"/>
      <c r="V133" s="68"/>
      <c r="W133" s="68">
        <f>104418228+44440130+35933342</f>
        <v>184791700</v>
      </c>
    </row>
    <row r="134" spans="1:23" s="17" customFormat="1" ht="15">
      <c r="A134" s="152" t="s">
        <v>3</v>
      </c>
      <c r="B134" s="153"/>
      <c r="C134" s="154"/>
      <c r="D134" s="150"/>
      <c r="E134" s="162"/>
      <c r="F134" s="163"/>
      <c r="G134" s="174"/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</row>
    <row r="135" spans="1:23" s="17" customFormat="1" ht="15">
      <c r="A135" s="152" t="s">
        <v>11</v>
      </c>
      <c r="B135" s="153"/>
      <c r="C135" s="154"/>
      <c r="D135" s="150"/>
      <c r="E135" s="162"/>
      <c r="F135" s="163"/>
      <c r="G135" s="174"/>
      <c r="H135" s="61">
        <f>SUM(H136:H137)</f>
        <v>236800998</v>
      </c>
      <c r="I135" s="61">
        <f t="shared" ref="I135:K135" si="48">SUM(I136:I137)</f>
        <v>21346399</v>
      </c>
      <c r="J135" s="61">
        <f t="shared" si="48"/>
        <v>114300000</v>
      </c>
      <c r="K135" s="61">
        <f t="shared" si="48"/>
        <v>96328791</v>
      </c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</row>
    <row r="136" spans="1:23" s="17" customFormat="1" ht="15">
      <c r="A136" s="85"/>
      <c r="B136" s="184" t="s">
        <v>23</v>
      </c>
      <c r="C136" s="185"/>
      <c r="D136" s="150"/>
      <c r="E136" s="162"/>
      <c r="F136" s="163"/>
      <c r="G136" s="174"/>
      <c r="H136" s="61">
        <v>182585754</v>
      </c>
      <c r="I136" s="61">
        <v>15156995</v>
      </c>
      <c r="J136" s="61">
        <v>88487021</v>
      </c>
      <c r="K136" s="132">
        <v>75232548</v>
      </c>
      <c r="L136" s="88"/>
      <c r="M136" s="88"/>
      <c r="N136" s="88"/>
      <c r="O136" s="88"/>
      <c r="P136" s="88"/>
      <c r="Q136" s="88"/>
      <c r="R136" s="88"/>
      <c r="S136" s="88"/>
      <c r="T136" s="88"/>
      <c r="U136" s="88"/>
      <c r="V136" s="88"/>
      <c r="W136" s="88"/>
    </row>
    <row r="137" spans="1:23" s="17" customFormat="1" ht="15">
      <c r="A137" s="85"/>
      <c r="B137" s="184" t="s">
        <v>25</v>
      </c>
      <c r="C137" s="185"/>
      <c r="D137" s="151"/>
      <c r="E137" s="164"/>
      <c r="F137" s="165"/>
      <c r="G137" s="175"/>
      <c r="H137" s="61">
        <v>54215244</v>
      </c>
      <c r="I137" s="61">
        <v>6189404</v>
      </c>
      <c r="J137" s="61">
        <v>25812979</v>
      </c>
      <c r="K137" s="132">
        <v>21096243</v>
      </c>
      <c r="L137" s="88"/>
      <c r="M137" s="88"/>
      <c r="N137" s="88"/>
      <c r="O137" s="88"/>
      <c r="P137" s="88"/>
      <c r="Q137" s="88"/>
      <c r="R137" s="88"/>
      <c r="S137" s="88"/>
      <c r="T137" s="88"/>
      <c r="U137" s="88"/>
      <c r="V137" s="88"/>
      <c r="W137" s="88"/>
    </row>
    <row r="138" spans="1:23" s="55" customFormat="1" ht="60">
      <c r="A138" s="19">
        <v>23</v>
      </c>
      <c r="B138" s="58" t="s">
        <v>159</v>
      </c>
      <c r="C138" s="58" t="s">
        <v>158</v>
      </c>
      <c r="D138" s="178" t="s">
        <v>178</v>
      </c>
      <c r="E138" s="212" t="s">
        <v>34</v>
      </c>
      <c r="F138" s="213"/>
      <c r="G138" s="209" t="s">
        <v>116</v>
      </c>
      <c r="H138" s="7">
        <f>SUM(H139:H140)</f>
        <v>2980556</v>
      </c>
      <c r="I138" s="7">
        <f t="shared" ref="I138:J138" si="49">SUM(I139:I140)</f>
        <v>100000</v>
      </c>
      <c r="J138" s="7">
        <f t="shared" si="49"/>
        <v>2880556</v>
      </c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66">
        <f>2980556-1949333</f>
        <v>1031223</v>
      </c>
    </row>
    <row r="139" spans="1:23" s="55" customFormat="1" ht="15" customHeight="1">
      <c r="A139" s="179" t="s">
        <v>3</v>
      </c>
      <c r="B139" s="180"/>
      <c r="C139" s="181"/>
      <c r="D139" s="170"/>
      <c r="E139" s="214"/>
      <c r="F139" s="215"/>
      <c r="G139" s="210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24"/>
    </row>
    <row r="140" spans="1:23" s="55" customFormat="1" ht="15">
      <c r="A140" s="179" t="s">
        <v>11</v>
      </c>
      <c r="B140" s="180"/>
      <c r="C140" s="181"/>
      <c r="D140" s="170"/>
      <c r="E140" s="214"/>
      <c r="F140" s="215"/>
      <c r="G140" s="210"/>
      <c r="H140" s="57">
        <f>SUM(H141:H142)</f>
        <v>2980556</v>
      </c>
      <c r="I140" s="57">
        <f t="shared" ref="I140:J140" si="50">SUM(I141:I142)</f>
        <v>100000</v>
      </c>
      <c r="J140" s="57">
        <f t="shared" si="50"/>
        <v>2880556</v>
      </c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24"/>
    </row>
    <row r="141" spans="1:23" s="55" customFormat="1" ht="15">
      <c r="A141" s="22"/>
      <c r="B141" s="182" t="s">
        <v>23</v>
      </c>
      <c r="C141" s="183"/>
      <c r="D141" s="170"/>
      <c r="E141" s="214"/>
      <c r="F141" s="215"/>
      <c r="G141" s="210"/>
      <c r="H141" s="3">
        <v>2533472</v>
      </c>
      <c r="I141" s="57">
        <v>85000</v>
      </c>
      <c r="J141" s="57">
        <v>2448472</v>
      </c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24"/>
    </row>
    <row r="142" spans="1:23" s="55" customFormat="1" ht="15">
      <c r="A142" s="22"/>
      <c r="B142" s="182" t="s">
        <v>24</v>
      </c>
      <c r="C142" s="183"/>
      <c r="D142" s="171"/>
      <c r="E142" s="216"/>
      <c r="F142" s="217"/>
      <c r="G142" s="211"/>
      <c r="H142" s="57">
        <v>447084</v>
      </c>
      <c r="I142" s="57">
        <v>15000</v>
      </c>
      <c r="J142" s="57">
        <v>432084</v>
      </c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24"/>
    </row>
    <row r="143" spans="1:23" s="17" customFormat="1" ht="153.75" customHeight="1">
      <c r="A143" s="69">
        <v>24</v>
      </c>
      <c r="B143" s="69" t="s">
        <v>166</v>
      </c>
      <c r="C143" s="87" t="s">
        <v>65</v>
      </c>
      <c r="D143" s="149" t="s">
        <v>178</v>
      </c>
      <c r="E143" s="172" t="s">
        <v>167</v>
      </c>
      <c r="F143" s="161"/>
      <c r="G143" s="173" t="s">
        <v>116</v>
      </c>
      <c r="H143" s="68">
        <f>SUM(H144:H145)</f>
        <v>300000000</v>
      </c>
      <c r="I143" s="68">
        <f t="shared" ref="I143:K143" si="51">SUM(I144:I145)</f>
        <v>15011941</v>
      </c>
      <c r="J143" s="68">
        <f t="shared" si="51"/>
        <v>133151201</v>
      </c>
      <c r="K143" s="68">
        <f t="shared" si="51"/>
        <v>151836858</v>
      </c>
      <c r="L143" s="68"/>
      <c r="M143" s="68"/>
      <c r="N143" s="68"/>
      <c r="O143" s="68"/>
      <c r="P143" s="68"/>
      <c r="Q143" s="68"/>
      <c r="R143" s="68"/>
      <c r="S143" s="68"/>
      <c r="T143" s="68"/>
      <c r="U143" s="68"/>
      <c r="V143" s="68"/>
      <c r="W143" s="68">
        <f>54453006+2197549+223337504+5000000</f>
        <v>284988059</v>
      </c>
    </row>
    <row r="144" spans="1:23" s="17" customFormat="1" ht="15">
      <c r="A144" s="152" t="s">
        <v>3</v>
      </c>
      <c r="B144" s="153"/>
      <c r="C144" s="154"/>
      <c r="D144" s="150"/>
      <c r="E144" s="162"/>
      <c r="F144" s="163"/>
      <c r="G144" s="174"/>
      <c r="H144" s="61"/>
      <c r="I144" s="61"/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</row>
    <row r="145" spans="1:23" s="17" customFormat="1" ht="15">
      <c r="A145" s="152" t="s">
        <v>11</v>
      </c>
      <c r="B145" s="153"/>
      <c r="C145" s="154"/>
      <c r="D145" s="150"/>
      <c r="E145" s="162"/>
      <c r="F145" s="163"/>
      <c r="G145" s="174"/>
      <c r="H145" s="61">
        <f>SUM(H146:H148)</f>
        <v>300000000</v>
      </c>
      <c r="I145" s="61">
        <f t="shared" ref="I145:K145" si="52">SUM(I146:I148)</f>
        <v>15011941</v>
      </c>
      <c r="J145" s="61">
        <f t="shared" si="52"/>
        <v>133151201</v>
      </c>
      <c r="K145" s="61">
        <f t="shared" si="52"/>
        <v>151836858</v>
      </c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  <c r="W145" s="61"/>
    </row>
    <row r="146" spans="1:23" s="17" customFormat="1" ht="15">
      <c r="A146" s="85"/>
      <c r="B146" s="184" t="s">
        <v>23</v>
      </c>
      <c r="C146" s="185"/>
      <c r="D146" s="150"/>
      <c r="E146" s="162"/>
      <c r="F146" s="163"/>
      <c r="G146" s="174"/>
      <c r="H146" s="61">
        <v>227303191</v>
      </c>
      <c r="I146" s="61">
        <v>11237538</v>
      </c>
      <c r="J146" s="61">
        <v>100885643</v>
      </c>
      <c r="K146" s="61">
        <v>115180010</v>
      </c>
      <c r="L146" s="88"/>
      <c r="M146" s="88"/>
      <c r="N146" s="88"/>
      <c r="O146" s="88"/>
      <c r="P146" s="88"/>
      <c r="Q146" s="88"/>
      <c r="R146" s="88"/>
      <c r="S146" s="88"/>
      <c r="T146" s="88"/>
      <c r="U146" s="88"/>
      <c r="V146" s="88"/>
      <c r="W146" s="88"/>
    </row>
    <row r="147" spans="1:23" s="17" customFormat="1" ht="15">
      <c r="A147" s="85"/>
      <c r="B147" s="184" t="s">
        <v>25</v>
      </c>
      <c r="C147" s="185"/>
      <c r="D147" s="150"/>
      <c r="E147" s="162"/>
      <c r="F147" s="163"/>
      <c r="G147" s="174"/>
      <c r="H147" s="61">
        <v>70696809</v>
      </c>
      <c r="I147" s="61">
        <v>1774403</v>
      </c>
      <c r="J147" s="61">
        <v>32265558</v>
      </c>
      <c r="K147" s="61">
        <v>36656848</v>
      </c>
      <c r="L147" s="88"/>
      <c r="M147" s="88"/>
      <c r="N147" s="88"/>
      <c r="O147" s="88"/>
      <c r="P147" s="88"/>
      <c r="Q147" s="88"/>
      <c r="R147" s="88"/>
      <c r="S147" s="88"/>
      <c r="T147" s="88"/>
      <c r="U147" s="88"/>
      <c r="V147" s="88"/>
      <c r="W147" s="88"/>
    </row>
    <row r="148" spans="1:23" s="17" customFormat="1" ht="15">
      <c r="A148" s="85"/>
      <c r="B148" s="155" t="s">
        <v>153</v>
      </c>
      <c r="C148" s="156"/>
      <c r="D148" s="151"/>
      <c r="E148" s="164"/>
      <c r="F148" s="165"/>
      <c r="G148" s="175"/>
      <c r="H148" s="61">
        <v>2000000</v>
      </c>
      <c r="I148" s="61">
        <v>2000000</v>
      </c>
      <c r="J148" s="61"/>
      <c r="K148" s="61"/>
      <c r="L148" s="88"/>
      <c r="M148" s="88"/>
      <c r="N148" s="88"/>
      <c r="O148" s="88"/>
      <c r="P148" s="88"/>
      <c r="Q148" s="88"/>
      <c r="R148" s="88"/>
      <c r="S148" s="88"/>
      <c r="T148" s="88"/>
      <c r="U148" s="88"/>
      <c r="V148" s="88"/>
      <c r="W148" s="88"/>
    </row>
    <row r="149" spans="1:23" s="17" customFormat="1" ht="75">
      <c r="A149" s="69">
        <v>25</v>
      </c>
      <c r="B149" s="86" t="s">
        <v>287</v>
      </c>
      <c r="C149" s="87" t="s">
        <v>53</v>
      </c>
      <c r="D149" s="149" t="s">
        <v>178</v>
      </c>
      <c r="E149" s="160" t="s">
        <v>34</v>
      </c>
      <c r="F149" s="192"/>
      <c r="G149" s="173" t="s">
        <v>116</v>
      </c>
      <c r="H149" s="68">
        <f>SUM(H150:H151)</f>
        <v>22517576</v>
      </c>
      <c r="I149" s="68">
        <f t="shared" ref="I149:J149" si="53">SUM(I150:I151)</f>
        <v>17093070</v>
      </c>
      <c r="J149" s="68">
        <f t="shared" si="53"/>
        <v>4524506</v>
      </c>
      <c r="K149" s="68"/>
      <c r="L149" s="68"/>
      <c r="M149" s="68"/>
      <c r="N149" s="68"/>
      <c r="O149" s="68"/>
      <c r="P149" s="68"/>
      <c r="Q149" s="68"/>
      <c r="R149" s="68"/>
      <c r="S149" s="68"/>
      <c r="T149" s="68"/>
      <c r="U149" s="68"/>
      <c r="V149" s="68"/>
      <c r="W149" s="68">
        <v>4524506</v>
      </c>
    </row>
    <row r="150" spans="1:23" s="17" customFormat="1" ht="15">
      <c r="A150" s="152" t="s">
        <v>3</v>
      </c>
      <c r="B150" s="153"/>
      <c r="C150" s="154"/>
      <c r="D150" s="150"/>
      <c r="E150" s="193"/>
      <c r="F150" s="194"/>
      <c r="G150" s="174"/>
      <c r="H150" s="61"/>
      <c r="I150" s="61"/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61"/>
      <c r="V150" s="61"/>
      <c r="W150" s="61"/>
    </row>
    <row r="151" spans="1:23" s="17" customFormat="1" ht="15">
      <c r="A151" s="152" t="s">
        <v>11</v>
      </c>
      <c r="B151" s="153"/>
      <c r="C151" s="154"/>
      <c r="D151" s="150"/>
      <c r="E151" s="193"/>
      <c r="F151" s="194"/>
      <c r="G151" s="174"/>
      <c r="H151" s="61">
        <f>SUM(H152:H155)</f>
        <v>22517576</v>
      </c>
      <c r="I151" s="61">
        <f t="shared" ref="I151:J151" si="54">SUM(I152:I155)</f>
        <v>17093070</v>
      </c>
      <c r="J151" s="61">
        <f t="shared" si="54"/>
        <v>4524506</v>
      </c>
      <c r="K151" s="61"/>
      <c r="L151" s="61"/>
      <c r="M151" s="61"/>
      <c r="N151" s="61"/>
      <c r="O151" s="61"/>
      <c r="P151" s="61"/>
      <c r="Q151" s="61"/>
      <c r="R151" s="61"/>
      <c r="S151" s="61"/>
      <c r="T151" s="61"/>
      <c r="U151" s="61"/>
      <c r="V151" s="61"/>
      <c r="W151" s="61"/>
    </row>
    <row r="152" spans="1:23" s="17" customFormat="1" ht="15">
      <c r="A152" s="85"/>
      <c r="B152" s="184" t="s">
        <v>23</v>
      </c>
      <c r="C152" s="185"/>
      <c r="D152" s="150"/>
      <c r="E152" s="193"/>
      <c r="F152" s="194"/>
      <c r="G152" s="174"/>
      <c r="H152" s="61">
        <v>10553238</v>
      </c>
      <c r="I152" s="61">
        <v>8290985</v>
      </c>
      <c r="J152" s="61">
        <v>2262253</v>
      </c>
      <c r="K152" s="61"/>
      <c r="L152" s="61"/>
      <c r="M152" s="88"/>
      <c r="N152" s="88"/>
      <c r="O152" s="88"/>
      <c r="P152" s="88"/>
      <c r="Q152" s="88"/>
      <c r="R152" s="88"/>
      <c r="S152" s="88"/>
      <c r="T152" s="88"/>
      <c r="U152" s="88"/>
      <c r="V152" s="88"/>
      <c r="W152" s="88"/>
    </row>
    <row r="153" spans="1:23" s="17" customFormat="1" ht="15">
      <c r="A153" s="85"/>
      <c r="B153" s="184" t="s">
        <v>25</v>
      </c>
      <c r="C153" s="185"/>
      <c r="D153" s="150"/>
      <c r="E153" s="193"/>
      <c r="F153" s="194"/>
      <c r="G153" s="174"/>
      <c r="H153" s="61">
        <v>2300363</v>
      </c>
      <c r="I153" s="61">
        <v>1174138</v>
      </c>
      <c r="J153" s="61">
        <v>226225</v>
      </c>
      <c r="K153" s="61"/>
      <c r="L153" s="61"/>
      <c r="M153" s="88"/>
      <c r="N153" s="88"/>
      <c r="O153" s="88"/>
      <c r="P153" s="88"/>
      <c r="Q153" s="88"/>
      <c r="R153" s="88"/>
      <c r="S153" s="88"/>
      <c r="T153" s="88"/>
      <c r="U153" s="88"/>
      <c r="V153" s="88"/>
      <c r="W153" s="88"/>
    </row>
    <row r="154" spans="1:23" s="17" customFormat="1" ht="15">
      <c r="A154" s="99"/>
      <c r="B154" s="155" t="s">
        <v>24</v>
      </c>
      <c r="C154" s="156"/>
      <c r="D154" s="150"/>
      <c r="E154" s="193"/>
      <c r="F154" s="194"/>
      <c r="G154" s="174"/>
      <c r="H154" s="61">
        <v>9497914</v>
      </c>
      <c r="I154" s="61">
        <v>7461886</v>
      </c>
      <c r="J154" s="61">
        <v>2036028</v>
      </c>
      <c r="K154" s="61"/>
      <c r="L154" s="61"/>
      <c r="M154" s="88"/>
      <c r="N154" s="88"/>
      <c r="O154" s="88"/>
      <c r="P154" s="88"/>
      <c r="Q154" s="88"/>
      <c r="R154" s="88"/>
      <c r="S154" s="88"/>
      <c r="T154" s="88"/>
      <c r="U154" s="88"/>
      <c r="V154" s="88"/>
      <c r="W154" s="88"/>
    </row>
    <row r="155" spans="1:23" s="17" customFormat="1" ht="15">
      <c r="A155" s="99"/>
      <c r="B155" s="155" t="s">
        <v>153</v>
      </c>
      <c r="C155" s="156"/>
      <c r="D155" s="151"/>
      <c r="E155" s="195"/>
      <c r="F155" s="196"/>
      <c r="G155" s="175"/>
      <c r="H155" s="61">
        <v>166061</v>
      </c>
      <c r="I155" s="61">
        <v>166061</v>
      </c>
      <c r="J155" s="61"/>
      <c r="K155" s="61"/>
      <c r="L155" s="61"/>
      <c r="M155" s="88"/>
      <c r="N155" s="88"/>
      <c r="O155" s="88"/>
      <c r="P155" s="88"/>
      <c r="Q155" s="88"/>
      <c r="R155" s="88"/>
      <c r="S155" s="88"/>
      <c r="T155" s="88"/>
      <c r="U155" s="88"/>
      <c r="V155" s="88"/>
      <c r="W155" s="88"/>
    </row>
    <row r="156" spans="1:23" s="17" customFormat="1" ht="153.75" customHeight="1">
      <c r="A156" s="69">
        <v>26</v>
      </c>
      <c r="B156" s="86" t="s">
        <v>256</v>
      </c>
      <c r="C156" s="133" t="s">
        <v>257</v>
      </c>
      <c r="D156" s="149" t="s">
        <v>178</v>
      </c>
      <c r="E156" s="160" t="s">
        <v>170</v>
      </c>
      <c r="F156" s="192"/>
      <c r="G156" s="269" t="s">
        <v>280</v>
      </c>
      <c r="H156" s="68">
        <f>SUM(H157:H158)</f>
        <v>65919923</v>
      </c>
      <c r="I156" s="68">
        <f t="shared" ref="I156:L156" si="55">SUM(I157:I158)</f>
        <v>100000</v>
      </c>
      <c r="J156" s="68">
        <f t="shared" si="55"/>
        <v>28282789</v>
      </c>
      <c r="K156" s="68">
        <f t="shared" si="55"/>
        <v>25929251</v>
      </c>
      <c r="L156" s="68">
        <f t="shared" si="55"/>
        <v>11607883</v>
      </c>
      <c r="M156" s="68"/>
      <c r="N156" s="68"/>
      <c r="O156" s="68"/>
      <c r="P156" s="68"/>
      <c r="Q156" s="68"/>
      <c r="R156" s="68"/>
      <c r="S156" s="68"/>
      <c r="T156" s="68"/>
      <c r="U156" s="68"/>
      <c r="V156" s="68"/>
      <c r="W156" s="68">
        <f>60392959+5426964</f>
        <v>65819923</v>
      </c>
    </row>
    <row r="157" spans="1:23" s="17" customFormat="1" ht="15">
      <c r="A157" s="152" t="s">
        <v>3</v>
      </c>
      <c r="B157" s="153"/>
      <c r="C157" s="154"/>
      <c r="D157" s="150"/>
      <c r="E157" s="193"/>
      <c r="F157" s="194"/>
      <c r="G157" s="274"/>
      <c r="H157" s="61"/>
      <c r="I157" s="61"/>
      <c r="J157" s="61"/>
      <c r="K157" s="61"/>
      <c r="L157" s="61"/>
      <c r="M157" s="61"/>
      <c r="N157" s="61"/>
      <c r="O157" s="61"/>
      <c r="P157" s="61"/>
      <c r="Q157" s="61"/>
      <c r="R157" s="61"/>
      <c r="S157" s="61"/>
      <c r="T157" s="61"/>
      <c r="U157" s="61"/>
      <c r="V157" s="61"/>
      <c r="W157" s="61"/>
    </row>
    <row r="158" spans="1:23" s="17" customFormat="1" ht="15">
      <c r="A158" s="152" t="s">
        <v>11</v>
      </c>
      <c r="B158" s="153"/>
      <c r="C158" s="154"/>
      <c r="D158" s="150"/>
      <c r="E158" s="193"/>
      <c r="F158" s="194"/>
      <c r="G158" s="274"/>
      <c r="H158" s="61">
        <f>SUM(H159:H161)</f>
        <v>65919923</v>
      </c>
      <c r="I158" s="61">
        <f t="shared" ref="I158:L158" si="56">SUM(I159:I161)</f>
        <v>100000</v>
      </c>
      <c r="J158" s="61">
        <f t="shared" si="56"/>
        <v>28282789</v>
      </c>
      <c r="K158" s="61">
        <f t="shared" si="56"/>
        <v>25929251</v>
      </c>
      <c r="L158" s="61">
        <f t="shared" si="56"/>
        <v>11607883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</row>
    <row r="159" spans="1:23" s="17" customFormat="1" ht="15">
      <c r="A159" s="85"/>
      <c r="B159" s="184" t="s">
        <v>23</v>
      </c>
      <c r="C159" s="185"/>
      <c r="D159" s="150"/>
      <c r="E159" s="193"/>
      <c r="F159" s="194"/>
      <c r="G159" s="274"/>
      <c r="H159" s="61">
        <v>55757003</v>
      </c>
      <c r="I159" s="61">
        <v>100000</v>
      </c>
      <c r="J159" s="61">
        <v>28282789</v>
      </c>
      <c r="K159" s="61">
        <v>25929251</v>
      </c>
      <c r="L159" s="132">
        <v>1444963</v>
      </c>
      <c r="M159" s="88"/>
      <c r="N159" s="88"/>
      <c r="O159" s="88"/>
      <c r="P159" s="88"/>
      <c r="Q159" s="88"/>
      <c r="R159" s="88"/>
      <c r="S159" s="88"/>
      <c r="T159" s="88"/>
      <c r="U159" s="88"/>
      <c r="V159" s="88"/>
      <c r="W159" s="88"/>
    </row>
    <row r="160" spans="1:23" s="17" customFormat="1" ht="15">
      <c r="A160" s="85"/>
      <c r="B160" s="184" t="s">
        <v>25</v>
      </c>
      <c r="C160" s="185"/>
      <c r="D160" s="150"/>
      <c r="E160" s="193"/>
      <c r="F160" s="194"/>
      <c r="G160" s="274"/>
      <c r="H160" s="61">
        <v>3603272</v>
      </c>
      <c r="I160" s="61">
        <v>0</v>
      </c>
      <c r="J160" s="61">
        <v>0</v>
      </c>
      <c r="K160" s="61">
        <v>0</v>
      </c>
      <c r="L160" s="132">
        <v>3603272</v>
      </c>
      <c r="M160" s="88"/>
      <c r="N160" s="88"/>
      <c r="O160" s="88"/>
      <c r="P160" s="88"/>
      <c r="Q160" s="88"/>
      <c r="R160" s="88"/>
      <c r="S160" s="88"/>
      <c r="T160" s="88"/>
      <c r="U160" s="88"/>
      <c r="V160" s="88"/>
      <c r="W160" s="88"/>
    </row>
    <row r="161" spans="1:23" s="17" customFormat="1" ht="15">
      <c r="A161" s="85"/>
      <c r="B161" s="130" t="s">
        <v>24</v>
      </c>
      <c r="C161" s="131"/>
      <c r="D161" s="151"/>
      <c r="E161" s="195"/>
      <c r="F161" s="196"/>
      <c r="G161" s="275"/>
      <c r="H161" s="61">
        <v>6559648</v>
      </c>
      <c r="I161" s="61">
        <v>0</v>
      </c>
      <c r="J161" s="61">
        <v>0</v>
      </c>
      <c r="K161" s="61">
        <v>0</v>
      </c>
      <c r="L161" s="132">
        <v>6559648</v>
      </c>
      <c r="M161" s="88"/>
      <c r="N161" s="88"/>
      <c r="O161" s="88"/>
      <c r="P161" s="88"/>
      <c r="Q161" s="88"/>
      <c r="R161" s="88"/>
      <c r="S161" s="88"/>
      <c r="T161" s="88"/>
      <c r="U161" s="88"/>
      <c r="V161" s="88"/>
      <c r="W161" s="88"/>
    </row>
    <row r="162" spans="1:23" s="17" customFormat="1" ht="75">
      <c r="A162" s="69">
        <v>27</v>
      </c>
      <c r="B162" s="69" t="s">
        <v>68</v>
      </c>
      <c r="C162" s="69" t="s">
        <v>67</v>
      </c>
      <c r="D162" s="149" t="s">
        <v>145</v>
      </c>
      <c r="E162" s="160" t="s">
        <v>41</v>
      </c>
      <c r="F162" s="161"/>
      <c r="G162" s="173" t="s">
        <v>117</v>
      </c>
      <c r="H162" s="68">
        <f>SUM(H163,H165)</f>
        <v>311129907</v>
      </c>
      <c r="I162" s="68">
        <f t="shared" ref="I162:P162" si="57">SUM(I163,I165)</f>
        <v>1890407</v>
      </c>
      <c r="J162" s="68">
        <f t="shared" si="57"/>
        <v>74928895</v>
      </c>
      <c r="K162" s="68">
        <f t="shared" si="57"/>
        <v>147186532</v>
      </c>
      <c r="L162" s="68">
        <f t="shared" si="57"/>
        <v>74151727</v>
      </c>
      <c r="M162" s="68">
        <f t="shared" si="57"/>
        <v>2312631</v>
      </c>
      <c r="N162" s="68">
        <f t="shared" si="57"/>
        <v>1623847</v>
      </c>
      <c r="O162" s="68">
        <f t="shared" si="57"/>
        <v>1368759</v>
      </c>
      <c r="P162" s="68">
        <f t="shared" si="57"/>
        <v>3941190</v>
      </c>
      <c r="Q162" s="68">
        <f t="shared" ref="Q162" si="58">SUM(Q163,Q165)</f>
        <v>3713374</v>
      </c>
      <c r="R162" s="68"/>
      <c r="S162" s="68"/>
      <c r="T162" s="68"/>
      <c r="U162" s="68"/>
      <c r="V162" s="68"/>
      <c r="W162" s="68">
        <f>794846+283118253+12354055</f>
        <v>296267154</v>
      </c>
    </row>
    <row r="163" spans="1:23" s="17" customFormat="1" ht="15">
      <c r="A163" s="152" t="s">
        <v>12</v>
      </c>
      <c r="B163" s="153"/>
      <c r="C163" s="154"/>
      <c r="D163" s="150"/>
      <c r="E163" s="162"/>
      <c r="F163" s="163"/>
      <c r="G163" s="174"/>
      <c r="H163" s="61">
        <f>H164</f>
        <v>10749533</v>
      </c>
      <c r="I163" s="61">
        <f t="shared" ref="I163:Q163" si="59">I164</f>
        <v>0</v>
      </c>
      <c r="J163" s="61">
        <f t="shared" si="59"/>
        <v>0</v>
      </c>
      <c r="K163" s="61">
        <f t="shared" si="59"/>
        <v>0</v>
      </c>
      <c r="L163" s="61">
        <f t="shared" si="59"/>
        <v>3442930</v>
      </c>
      <c r="M163" s="61">
        <f t="shared" si="59"/>
        <v>2312631</v>
      </c>
      <c r="N163" s="61">
        <f t="shared" si="59"/>
        <v>1623847</v>
      </c>
      <c r="O163" s="61">
        <f t="shared" si="59"/>
        <v>1368759</v>
      </c>
      <c r="P163" s="61">
        <f t="shared" si="59"/>
        <v>1114591</v>
      </c>
      <c r="Q163" s="61">
        <f t="shared" si="59"/>
        <v>886775</v>
      </c>
      <c r="R163" s="61"/>
      <c r="S163" s="61"/>
      <c r="T163" s="61"/>
      <c r="U163" s="61"/>
      <c r="V163" s="61"/>
      <c r="W163" s="61"/>
    </row>
    <row r="164" spans="1:23" s="17" customFormat="1" ht="15">
      <c r="A164" s="85"/>
      <c r="B164" s="155" t="s">
        <v>25</v>
      </c>
      <c r="C164" s="156"/>
      <c r="D164" s="150"/>
      <c r="E164" s="162"/>
      <c r="F164" s="163"/>
      <c r="G164" s="174"/>
      <c r="H164" s="61">
        <v>10749533</v>
      </c>
      <c r="I164" s="61"/>
      <c r="J164" s="61"/>
      <c r="K164" s="61"/>
      <c r="L164" s="61">
        <v>3442930</v>
      </c>
      <c r="M164" s="61">
        <v>2312631</v>
      </c>
      <c r="N164" s="61">
        <v>1623847</v>
      </c>
      <c r="O164" s="61">
        <v>1368759</v>
      </c>
      <c r="P164" s="61">
        <v>1114591</v>
      </c>
      <c r="Q164" s="61">
        <v>886775</v>
      </c>
      <c r="R164" s="61"/>
      <c r="S164" s="61"/>
      <c r="T164" s="61"/>
      <c r="U164" s="61"/>
      <c r="V164" s="61"/>
      <c r="W164" s="61"/>
    </row>
    <row r="165" spans="1:23" s="17" customFormat="1" ht="15">
      <c r="A165" s="157" t="s">
        <v>11</v>
      </c>
      <c r="B165" s="158"/>
      <c r="C165" s="159"/>
      <c r="D165" s="150"/>
      <c r="E165" s="162"/>
      <c r="F165" s="163"/>
      <c r="G165" s="174"/>
      <c r="H165" s="61">
        <f>SUM(H166:H168)</f>
        <v>300380374</v>
      </c>
      <c r="I165" s="61">
        <f t="shared" ref="I165:Q165" si="60">SUM(I166:I168)</f>
        <v>1890407</v>
      </c>
      <c r="J165" s="61">
        <f t="shared" si="60"/>
        <v>74928895</v>
      </c>
      <c r="K165" s="61">
        <f t="shared" si="60"/>
        <v>147186532</v>
      </c>
      <c r="L165" s="61">
        <f t="shared" si="60"/>
        <v>70708797</v>
      </c>
      <c r="M165" s="61">
        <f t="shared" si="60"/>
        <v>0</v>
      </c>
      <c r="N165" s="61">
        <f t="shared" si="60"/>
        <v>0</v>
      </c>
      <c r="O165" s="61">
        <f t="shared" si="60"/>
        <v>0</v>
      </c>
      <c r="P165" s="61">
        <f t="shared" si="60"/>
        <v>2826599</v>
      </c>
      <c r="Q165" s="61">
        <f t="shared" si="60"/>
        <v>2826599</v>
      </c>
      <c r="R165" s="61"/>
      <c r="S165" s="61"/>
      <c r="T165" s="61"/>
      <c r="U165" s="61"/>
      <c r="V165" s="61"/>
      <c r="W165" s="61"/>
    </row>
    <row r="166" spans="1:23" s="17" customFormat="1" ht="15">
      <c r="A166" s="85"/>
      <c r="B166" s="184" t="s">
        <v>23</v>
      </c>
      <c r="C166" s="185"/>
      <c r="D166" s="150"/>
      <c r="E166" s="162"/>
      <c r="F166" s="163"/>
      <c r="G166" s="174"/>
      <c r="H166" s="61">
        <v>204490344</v>
      </c>
      <c r="I166" s="61">
        <v>1439070</v>
      </c>
      <c r="J166" s="61">
        <v>52028280</v>
      </c>
      <c r="K166" s="61">
        <v>101962419</v>
      </c>
      <c r="L166" s="61">
        <v>49049915</v>
      </c>
      <c r="M166" s="61"/>
      <c r="N166" s="61"/>
      <c r="O166" s="61"/>
      <c r="P166" s="61"/>
      <c r="Q166" s="61"/>
      <c r="R166" s="61"/>
      <c r="S166" s="61"/>
      <c r="T166" s="61"/>
      <c r="U166" s="61"/>
      <c r="V166" s="61"/>
      <c r="W166" s="61"/>
    </row>
    <row r="167" spans="1:23" s="17" customFormat="1" ht="15">
      <c r="A167" s="85"/>
      <c r="B167" s="184" t="s">
        <v>25</v>
      </c>
      <c r="C167" s="185"/>
      <c r="D167" s="150"/>
      <c r="E167" s="162"/>
      <c r="F167" s="163"/>
      <c r="G167" s="174"/>
      <c r="H167" s="61">
        <v>71832341</v>
      </c>
      <c r="I167" s="61">
        <v>282035</v>
      </c>
      <c r="J167" s="61">
        <v>16779641</v>
      </c>
      <c r="K167" s="61">
        <v>33228534</v>
      </c>
      <c r="L167" s="61">
        <v>15888304</v>
      </c>
      <c r="M167" s="61"/>
      <c r="N167" s="61"/>
      <c r="O167" s="61"/>
      <c r="P167" s="61">
        <v>2826599</v>
      </c>
      <c r="Q167" s="61">
        <v>2826599</v>
      </c>
      <c r="R167" s="61"/>
      <c r="S167" s="61"/>
      <c r="T167" s="61"/>
      <c r="U167" s="61"/>
      <c r="V167" s="61"/>
      <c r="W167" s="61"/>
    </row>
    <row r="168" spans="1:23" s="17" customFormat="1" ht="15">
      <c r="A168" s="85"/>
      <c r="B168" s="184" t="s">
        <v>24</v>
      </c>
      <c r="C168" s="185"/>
      <c r="D168" s="151"/>
      <c r="E168" s="164"/>
      <c r="F168" s="165"/>
      <c r="G168" s="175"/>
      <c r="H168" s="61">
        <v>24057689</v>
      </c>
      <c r="I168" s="61">
        <v>169302</v>
      </c>
      <c r="J168" s="61">
        <v>6120974</v>
      </c>
      <c r="K168" s="61">
        <v>11995579</v>
      </c>
      <c r="L168" s="61">
        <v>5770578</v>
      </c>
      <c r="M168" s="61"/>
      <c r="N168" s="61"/>
      <c r="O168" s="61"/>
      <c r="P168" s="61"/>
      <c r="Q168" s="61"/>
      <c r="R168" s="61"/>
      <c r="S168" s="61"/>
      <c r="T168" s="61"/>
      <c r="U168" s="61"/>
      <c r="V168" s="61"/>
      <c r="W168" s="61"/>
    </row>
    <row r="169" spans="1:23" s="17" customFormat="1" ht="75">
      <c r="A169" s="69">
        <v>28</v>
      </c>
      <c r="B169" s="77" t="s">
        <v>69</v>
      </c>
      <c r="C169" s="90" t="s">
        <v>70</v>
      </c>
      <c r="D169" s="149" t="s">
        <v>145</v>
      </c>
      <c r="E169" s="172" t="s">
        <v>143</v>
      </c>
      <c r="F169" s="161"/>
      <c r="G169" s="173" t="s">
        <v>117</v>
      </c>
      <c r="H169" s="68">
        <f>SUM(H170,H172)</f>
        <v>89505750</v>
      </c>
      <c r="I169" s="68">
        <f t="shared" ref="I169:O169" si="61">SUM(I170,I172)</f>
        <v>4813455</v>
      </c>
      <c r="J169" s="68">
        <f t="shared" si="61"/>
        <v>84246632</v>
      </c>
      <c r="K169" s="68">
        <f t="shared" si="61"/>
        <v>32600</v>
      </c>
      <c r="L169" s="68">
        <f t="shared" si="61"/>
        <v>32600</v>
      </c>
      <c r="M169" s="68">
        <f t="shared" si="61"/>
        <v>82600</v>
      </c>
      <c r="N169" s="68">
        <f t="shared" si="61"/>
        <v>82600</v>
      </c>
      <c r="O169" s="68">
        <f t="shared" si="61"/>
        <v>82600</v>
      </c>
      <c r="P169" s="68"/>
      <c r="Q169" s="68"/>
      <c r="R169" s="68"/>
      <c r="S169" s="68"/>
      <c r="T169" s="68"/>
      <c r="U169" s="68"/>
      <c r="V169" s="68"/>
      <c r="W169" s="68">
        <f>787150+557000+13032564+69869918</f>
        <v>84246632</v>
      </c>
    </row>
    <row r="170" spans="1:23" s="17" customFormat="1" ht="15">
      <c r="A170" s="152" t="s">
        <v>12</v>
      </c>
      <c r="B170" s="153"/>
      <c r="C170" s="154"/>
      <c r="D170" s="150"/>
      <c r="E170" s="162"/>
      <c r="F170" s="163"/>
      <c r="G170" s="174"/>
      <c r="H170" s="61">
        <f>H171</f>
        <v>335600</v>
      </c>
      <c r="I170" s="61">
        <f t="shared" ref="I170:O170" si="62">I171</f>
        <v>0</v>
      </c>
      <c r="J170" s="61">
        <f t="shared" si="62"/>
        <v>22600</v>
      </c>
      <c r="K170" s="61">
        <f t="shared" si="62"/>
        <v>32600</v>
      </c>
      <c r="L170" s="61">
        <f t="shared" si="62"/>
        <v>32600</v>
      </c>
      <c r="M170" s="61">
        <f t="shared" si="62"/>
        <v>82600</v>
      </c>
      <c r="N170" s="61">
        <f t="shared" si="62"/>
        <v>82600</v>
      </c>
      <c r="O170" s="61">
        <f t="shared" si="62"/>
        <v>82600</v>
      </c>
      <c r="P170" s="61"/>
      <c r="Q170" s="61"/>
      <c r="R170" s="61"/>
      <c r="S170" s="61"/>
      <c r="T170" s="61"/>
      <c r="U170" s="61"/>
      <c r="V170" s="61"/>
      <c r="W170" s="61"/>
    </row>
    <row r="171" spans="1:23" s="17" customFormat="1" ht="15">
      <c r="A171" s="85"/>
      <c r="B171" s="184" t="s">
        <v>25</v>
      </c>
      <c r="C171" s="185"/>
      <c r="D171" s="150"/>
      <c r="E171" s="162"/>
      <c r="F171" s="163"/>
      <c r="G171" s="174"/>
      <c r="H171" s="61">
        <v>335600</v>
      </c>
      <c r="I171" s="61"/>
      <c r="J171" s="61">
        <v>22600</v>
      </c>
      <c r="K171" s="61">
        <v>32600</v>
      </c>
      <c r="L171" s="61">
        <v>32600</v>
      </c>
      <c r="M171" s="61">
        <v>82600</v>
      </c>
      <c r="N171" s="61">
        <v>82600</v>
      </c>
      <c r="O171" s="61">
        <v>82600</v>
      </c>
      <c r="P171" s="61"/>
      <c r="Q171" s="61"/>
      <c r="R171" s="61"/>
      <c r="S171" s="61"/>
      <c r="T171" s="61"/>
      <c r="U171" s="61"/>
      <c r="V171" s="61"/>
      <c r="W171" s="61"/>
    </row>
    <row r="172" spans="1:23" s="17" customFormat="1" ht="15">
      <c r="A172" s="152" t="s">
        <v>11</v>
      </c>
      <c r="B172" s="153"/>
      <c r="C172" s="154"/>
      <c r="D172" s="150"/>
      <c r="E172" s="162"/>
      <c r="F172" s="163"/>
      <c r="G172" s="174"/>
      <c r="H172" s="61">
        <f>SUM(H173:H174)</f>
        <v>89170150</v>
      </c>
      <c r="I172" s="61">
        <f t="shared" ref="I172:J172" si="63">SUM(I173:I174)</f>
        <v>4813455</v>
      </c>
      <c r="J172" s="61">
        <f t="shared" si="63"/>
        <v>84224032</v>
      </c>
      <c r="K172" s="61"/>
      <c r="L172" s="61"/>
      <c r="M172" s="61"/>
      <c r="N172" s="61"/>
      <c r="O172" s="61"/>
      <c r="P172" s="61"/>
      <c r="Q172" s="61"/>
      <c r="R172" s="61"/>
      <c r="S172" s="61"/>
      <c r="T172" s="61"/>
      <c r="U172" s="61"/>
      <c r="V172" s="61"/>
      <c r="W172" s="61"/>
    </row>
    <row r="173" spans="1:23" s="17" customFormat="1" ht="15">
      <c r="A173" s="85"/>
      <c r="B173" s="184" t="s">
        <v>23</v>
      </c>
      <c r="C173" s="185"/>
      <c r="D173" s="150"/>
      <c r="E173" s="162"/>
      <c r="F173" s="163"/>
      <c r="G173" s="174"/>
      <c r="H173" s="61">
        <v>88467345</v>
      </c>
      <c r="I173" s="61">
        <v>4805331</v>
      </c>
      <c r="J173" s="61">
        <v>83662014</v>
      </c>
      <c r="K173" s="61"/>
      <c r="L173" s="61"/>
      <c r="M173" s="61"/>
      <c r="N173" s="61"/>
      <c r="O173" s="61"/>
      <c r="P173" s="61"/>
      <c r="Q173" s="61"/>
      <c r="R173" s="61"/>
      <c r="S173" s="61"/>
      <c r="T173" s="61"/>
      <c r="U173" s="61"/>
      <c r="V173" s="61"/>
      <c r="W173" s="61"/>
    </row>
    <row r="174" spans="1:23" s="17" customFormat="1" ht="15">
      <c r="A174" s="85"/>
      <c r="B174" s="184" t="s">
        <v>25</v>
      </c>
      <c r="C174" s="185"/>
      <c r="D174" s="151"/>
      <c r="E174" s="164"/>
      <c r="F174" s="165"/>
      <c r="G174" s="175"/>
      <c r="H174" s="61">
        <v>702805</v>
      </c>
      <c r="I174" s="61">
        <v>8124</v>
      </c>
      <c r="J174" s="61">
        <v>562018</v>
      </c>
      <c r="K174" s="61"/>
      <c r="L174" s="61"/>
      <c r="M174" s="61"/>
      <c r="N174" s="61"/>
      <c r="O174" s="61"/>
      <c r="P174" s="61"/>
      <c r="Q174" s="61"/>
      <c r="R174" s="61"/>
      <c r="S174" s="61"/>
      <c r="T174" s="61"/>
      <c r="U174" s="61"/>
      <c r="V174" s="61"/>
      <c r="W174" s="61"/>
    </row>
    <row r="175" spans="1:23" s="17" customFormat="1" ht="90">
      <c r="A175" s="69">
        <v>29</v>
      </c>
      <c r="B175" s="69" t="s">
        <v>71</v>
      </c>
      <c r="C175" s="87" t="s">
        <v>72</v>
      </c>
      <c r="D175" s="149" t="s">
        <v>145</v>
      </c>
      <c r="E175" s="172" t="s">
        <v>143</v>
      </c>
      <c r="F175" s="161"/>
      <c r="G175" s="173" t="s">
        <v>117</v>
      </c>
      <c r="H175" s="68">
        <f>SUM(H176,H178)</f>
        <v>58181754</v>
      </c>
      <c r="I175" s="68">
        <f t="shared" ref="I175:O175" si="64">SUM(I176,I178)</f>
        <v>140046</v>
      </c>
      <c r="J175" s="68">
        <f t="shared" si="64"/>
        <v>57514408</v>
      </c>
      <c r="K175" s="68">
        <f t="shared" si="64"/>
        <v>82340</v>
      </c>
      <c r="L175" s="68">
        <f t="shared" si="64"/>
        <v>82340</v>
      </c>
      <c r="M175" s="68">
        <f t="shared" si="64"/>
        <v>82340</v>
      </c>
      <c r="N175" s="68">
        <f t="shared" si="64"/>
        <v>82340</v>
      </c>
      <c r="O175" s="68">
        <f t="shared" si="64"/>
        <v>82340</v>
      </c>
      <c r="P175" s="68"/>
      <c r="Q175" s="68"/>
      <c r="R175" s="68"/>
      <c r="S175" s="68"/>
      <c r="T175" s="68"/>
      <c r="U175" s="68"/>
      <c r="V175" s="68"/>
      <c r="W175" s="68">
        <f>1563656+24197612+31753140</f>
        <v>57514408</v>
      </c>
    </row>
    <row r="176" spans="1:23" s="17" customFormat="1" ht="15">
      <c r="A176" s="157" t="s">
        <v>12</v>
      </c>
      <c r="B176" s="158"/>
      <c r="C176" s="159"/>
      <c r="D176" s="150"/>
      <c r="E176" s="162"/>
      <c r="F176" s="163"/>
      <c r="G176" s="174"/>
      <c r="H176" s="61">
        <f>H177</f>
        <v>411700</v>
      </c>
      <c r="I176" s="61"/>
      <c r="J176" s="61"/>
      <c r="K176" s="61">
        <f>K177</f>
        <v>82340</v>
      </c>
      <c r="L176" s="61">
        <f t="shared" ref="L176:O176" si="65">L177</f>
        <v>82340</v>
      </c>
      <c r="M176" s="61">
        <f t="shared" si="65"/>
        <v>82340</v>
      </c>
      <c r="N176" s="61">
        <f t="shared" si="65"/>
        <v>82340</v>
      </c>
      <c r="O176" s="61">
        <f t="shared" si="65"/>
        <v>82340</v>
      </c>
      <c r="P176" s="61"/>
      <c r="Q176" s="61"/>
      <c r="R176" s="61"/>
      <c r="S176" s="61"/>
      <c r="T176" s="61"/>
      <c r="U176" s="61"/>
      <c r="V176" s="61"/>
      <c r="W176" s="61"/>
    </row>
    <row r="177" spans="1:23" s="17" customFormat="1" ht="15">
      <c r="A177" s="85"/>
      <c r="B177" s="184" t="s">
        <v>25</v>
      </c>
      <c r="C177" s="185"/>
      <c r="D177" s="150"/>
      <c r="E177" s="162"/>
      <c r="F177" s="163"/>
      <c r="G177" s="174"/>
      <c r="H177" s="61">
        <v>411700</v>
      </c>
      <c r="I177" s="61"/>
      <c r="J177" s="61"/>
      <c r="K177" s="61">
        <v>82340</v>
      </c>
      <c r="L177" s="61">
        <v>82340</v>
      </c>
      <c r="M177" s="61">
        <v>82340</v>
      </c>
      <c r="N177" s="61">
        <v>82340</v>
      </c>
      <c r="O177" s="61">
        <v>82340</v>
      </c>
      <c r="P177" s="61"/>
      <c r="Q177" s="61"/>
      <c r="R177" s="61"/>
      <c r="S177" s="61"/>
      <c r="T177" s="61"/>
      <c r="U177" s="61"/>
      <c r="V177" s="61"/>
      <c r="W177" s="61"/>
    </row>
    <row r="178" spans="1:23" s="17" customFormat="1" ht="15">
      <c r="A178" s="152" t="s">
        <v>11</v>
      </c>
      <c r="B178" s="153"/>
      <c r="C178" s="154"/>
      <c r="D178" s="150"/>
      <c r="E178" s="162"/>
      <c r="F178" s="163"/>
      <c r="G178" s="174"/>
      <c r="H178" s="61">
        <f>SUM(H179:H181)</f>
        <v>57770054</v>
      </c>
      <c r="I178" s="61">
        <f t="shared" ref="I178:J178" si="66">SUM(I179:I181)</f>
        <v>140046</v>
      </c>
      <c r="J178" s="61">
        <f t="shared" si="66"/>
        <v>57514408</v>
      </c>
      <c r="K178" s="61"/>
      <c r="L178" s="61"/>
      <c r="M178" s="61"/>
      <c r="N178" s="61"/>
      <c r="O178" s="61"/>
      <c r="P178" s="61"/>
      <c r="Q178" s="61"/>
      <c r="R178" s="61"/>
      <c r="S178" s="61"/>
      <c r="T178" s="61"/>
      <c r="U178" s="61"/>
      <c r="V178" s="61"/>
      <c r="W178" s="61"/>
    </row>
    <row r="179" spans="1:23" s="17" customFormat="1" ht="15">
      <c r="A179" s="85"/>
      <c r="B179" s="184" t="s">
        <v>23</v>
      </c>
      <c r="C179" s="185"/>
      <c r="D179" s="150"/>
      <c r="E179" s="162"/>
      <c r="F179" s="163"/>
      <c r="G179" s="174"/>
      <c r="H179" s="61">
        <v>48994087</v>
      </c>
      <c r="I179" s="61">
        <v>106840</v>
      </c>
      <c r="J179" s="61">
        <v>48887246</v>
      </c>
      <c r="K179" s="61"/>
      <c r="L179" s="61"/>
      <c r="M179" s="61"/>
      <c r="N179" s="61"/>
      <c r="O179" s="61"/>
      <c r="P179" s="61"/>
      <c r="Q179" s="61"/>
      <c r="R179" s="61"/>
      <c r="S179" s="61"/>
      <c r="T179" s="61"/>
      <c r="U179" s="61"/>
      <c r="V179" s="61"/>
      <c r="W179" s="61"/>
    </row>
    <row r="180" spans="1:23" s="17" customFormat="1" ht="15">
      <c r="A180" s="85"/>
      <c r="B180" s="184" t="s">
        <v>25</v>
      </c>
      <c r="C180" s="185"/>
      <c r="D180" s="150"/>
      <c r="E180" s="162"/>
      <c r="F180" s="163"/>
      <c r="G180" s="174"/>
      <c r="H180" s="61">
        <v>3011956</v>
      </c>
      <c r="I180" s="61">
        <v>20637</v>
      </c>
      <c r="J180" s="61">
        <v>2875721</v>
      </c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1"/>
      <c r="V180" s="61"/>
      <c r="W180" s="61"/>
    </row>
    <row r="181" spans="1:23" s="17" customFormat="1" ht="15">
      <c r="A181" s="85"/>
      <c r="B181" s="184" t="s">
        <v>24</v>
      </c>
      <c r="C181" s="185"/>
      <c r="D181" s="151"/>
      <c r="E181" s="164"/>
      <c r="F181" s="165"/>
      <c r="G181" s="175"/>
      <c r="H181" s="61">
        <v>5764011</v>
      </c>
      <c r="I181" s="61">
        <v>12569</v>
      </c>
      <c r="J181" s="61">
        <v>5751441</v>
      </c>
      <c r="K181" s="61"/>
      <c r="L181" s="61"/>
      <c r="M181" s="61"/>
      <c r="N181" s="61"/>
      <c r="O181" s="61"/>
      <c r="P181" s="61"/>
      <c r="Q181" s="61"/>
      <c r="R181" s="61"/>
      <c r="S181" s="61"/>
      <c r="T181" s="61"/>
      <c r="U181" s="61"/>
      <c r="V181" s="61"/>
      <c r="W181" s="61"/>
    </row>
    <row r="182" spans="1:23" s="17" customFormat="1" ht="90" customHeight="1">
      <c r="A182" s="69">
        <v>30</v>
      </c>
      <c r="B182" s="69" t="s">
        <v>73</v>
      </c>
      <c r="C182" s="69" t="s">
        <v>74</v>
      </c>
      <c r="D182" s="149" t="s">
        <v>145</v>
      </c>
      <c r="E182" s="172" t="s">
        <v>40</v>
      </c>
      <c r="F182" s="161"/>
      <c r="G182" s="173" t="s">
        <v>118</v>
      </c>
      <c r="H182" s="68">
        <f>SUM(H183,H187)</f>
        <v>19177248</v>
      </c>
      <c r="I182" s="68">
        <f t="shared" ref="I182:J182" si="67">SUM(I183,I187)</f>
        <v>9233463</v>
      </c>
      <c r="J182" s="68">
        <f t="shared" si="67"/>
        <v>3337194</v>
      </c>
      <c r="K182" s="79" t="s">
        <v>293</v>
      </c>
      <c r="L182" s="68"/>
      <c r="M182" s="68"/>
      <c r="N182" s="68"/>
      <c r="O182" s="68"/>
      <c r="P182" s="68"/>
      <c r="Q182" s="68"/>
      <c r="R182" s="68"/>
      <c r="S182" s="68"/>
      <c r="T182" s="68"/>
      <c r="U182" s="68"/>
      <c r="V182" s="68"/>
      <c r="W182" s="68">
        <f>4150669-813475</f>
        <v>3337194</v>
      </c>
    </row>
    <row r="183" spans="1:23" s="17" customFormat="1" ht="15">
      <c r="A183" s="152" t="s">
        <v>12</v>
      </c>
      <c r="B183" s="153"/>
      <c r="C183" s="154"/>
      <c r="D183" s="150"/>
      <c r="E183" s="162"/>
      <c r="F183" s="163"/>
      <c r="G183" s="174"/>
      <c r="H183" s="61">
        <f>SUM(H184:H186)</f>
        <v>18506145</v>
      </c>
      <c r="I183" s="61">
        <f t="shared" ref="I183:J183" si="68">SUM(I184:I186)</f>
        <v>8988927</v>
      </c>
      <c r="J183" s="61">
        <f t="shared" si="68"/>
        <v>3337194</v>
      </c>
      <c r="K183" s="61"/>
      <c r="L183" s="61"/>
      <c r="M183" s="61"/>
      <c r="N183" s="61"/>
      <c r="O183" s="61"/>
      <c r="P183" s="61"/>
      <c r="Q183" s="61"/>
      <c r="R183" s="61"/>
      <c r="S183" s="61"/>
      <c r="T183" s="61"/>
      <c r="U183" s="61"/>
      <c r="V183" s="61"/>
      <c r="W183" s="61"/>
    </row>
    <row r="184" spans="1:23" s="17" customFormat="1" ht="15">
      <c r="A184" s="85"/>
      <c r="B184" s="184" t="s">
        <v>23</v>
      </c>
      <c r="C184" s="185"/>
      <c r="D184" s="150"/>
      <c r="E184" s="162"/>
      <c r="F184" s="163"/>
      <c r="G184" s="174"/>
      <c r="H184" s="61">
        <v>15674160</v>
      </c>
      <c r="I184" s="61">
        <v>7640587</v>
      </c>
      <c r="J184" s="61">
        <v>2780550</v>
      </c>
      <c r="K184" s="61"/>
      <c r="L184" s="61"/>
      <c r="M184" s="61"/>
      <c r="N184" s="61"/>
      <c r="O184" s="61"/>
      <c r="P184" s="61"/>
      <c r="Q184" s="61"/>
      <c r="R184" s="61"/>
      <c r="S184" s="61"/>
      <c r="T184" s="61"/>
      <c r="U184" s="61"/>
      <c r="V184" s="61"/>
      <c r="W184" s="61"/>
    </row>
    <row r="185" spans="1:23" s="17" customFormat="1" ht="15">
      <c r="A185" s="85"/>
      <c r="B185" s="184" t="s">
        <v>25</v>
      </c>
      <c r="C185" s="185"/>
      <c r="D185" s="150"/>
      <c r="E185" s="162"/>
      <c r="F185" s="163"/>
      <c r="G185" s="174"/>
      <c r="H185" s="61">
        <v>1448972</v>
      </c>
      <c r="I185" s="61">
        <v>674171</v>
      </c>
      <c r="J185" s="61">
        <v>311301</v>
      </c>
      <c r="K185" s="61"/>
      <c r="L185" s="61"/>
      <c r="M185" s="61"/>
      <c r="N185" s="61"/>
      <c r="O185" s="61"/>
      <c r="P185" s="61"/>
      <c r="Q185" s="61"/>
      <c r="R185" s="61"/>
      <c r="S185" s="61"/>
      <c r="T185" s="61"/>
      <c r="U185" s="61"/>
      <c r="V185" s="61"/>
      <c r="W185" s="61"/>
    </row>
    <row r="186" spans="1:23" s="17" customFormat="1" ht="15">
      <c r="A186" s="85"/>
      <c r="B186" s="184" t="s">
        <v>24</v>
      </c>
      <c r="C186" s="185"/>
      <c r="D186" s="150"/>
      <c r="E186" s="162"/>
      <c r="F186" s="163"/>
      <c r="G186" s="174"/>
      <c r="H186" s="94">
        <v>1383013</v>
      </c>
      <c r="I186" s="61">
        <v>674169</v>
      </c>
      <c r="J186" s="61">
        <v>245343</v>
      </c>
      <c r="K186" s="61"/>
      <c r="L186" s="61"/>
      <c r="M186" s="61"/>
      <c r="N186" s="61"/>
      <c r="O186" s="61"/>
      <c r="P186" s="61"/>
      <c r="Q186" s="61"/>
      <c r="R186" s="61"/>
      <c r="S186" s="61"/>
      <c r="T186" s="61"/>
      <c r="U186" s="61"/>
      <c r="V186" s="61"/>
      <c r="W186" s="61"/>
    </row>
    <row r="187" spans="1:23" s="17" customFormat="1" ht="15" customHeight="1">
      <c r="A187" s="152" t="s">
        <v>11</v>
      </c>
      <c r="B187" s="153"/>
      <c r="C187" s="154"/>
      <c r="D187" s="150"/>
      <c r="E187" s="162"/>
      <c r="F187" s="163"/>
      <c r="G187" s="174"/>
      <c r="H187" s="61">
        <f>SUM(H188:H190)</f>
        <v>671103</v>
      </c>
      <c r="I187" s="61">
        <f>SUM(I188:I190)</f>
        <v>244536</v>
      </c>
      <c r="J187" s="61"/>
      <c r="K187" s="61"/>
      <c r="L187" s="61"/>
      <c r="M187" s="61"/>
      <c r="N187" s="61"/>
      <c r="O187" s="61"/>
      <c r="P187" s="61"/>
      <c r="Q187" s="61"/>
      <c r="R187" s="61"/>
      <c r="S187" s="61"/>
      <c r="T187" s="61"/>
      <c r="U187" s="61"/>
      <c r="V187" s="61"/>
      <c r="W187" s="61"/>
    </row>
    <row r="188" spans="1:23" s="17" customFormat="1" ht="15">
      <c r="A188" s="85"/>
      <c r="B188" s="184" t="s">
        <v>23</v>
      </c>
      <c r="C188" s="185"/>
      <c r="D188" s="150"/>
      <c r="E188" s="162"/>
      <c r="F188" s="163"/>
      <c r="G188" s="174"/>
      <c r="H188" s="61">
        <v>570437</v>
      </c>
      <c r="I188" s="61">
        <v>207855</v>
      </c>
      <c r="J188" s="61"/>
      <c r="K188" s="61"/>
      <c r="L188" s="61"/>
      <c r="M188" s="61"/>
      <c r="N188" s="61"/>
      <c r="O188" s="61"/>
      <c r="P188" s="61"/>
      <c r="Q188" s="61"/>
      <c r="R188" s="61"/>
      <c r="S188" s="61"/>
      <c r="T188" s="61"/>
      <c r="U188" s="61"/>
      <c r="V188" s="61"/>
      <c r="W188" s="61"/>
    </row>
    <row r="189" spans="1:23" s="17" customFormat="1" ht="15">
      <c r="A189" s="85"/>
      <c r="B189" s="184" t="s">
        <v>25</v>
      </c>
      <c r="C189" s="185"/>
      <c r="D189" s="150"/>
      <c r="E189" s="162"/>
      <c r="F189" s="163"/>
      <c r="G189" s="174"/>
      <c r="H189" s="61">
        <v>50333</v>
      </c>
      <c r="I189" s="61">
        <v>18340</v>
      </c>
      <c r="J189" s="61"/>
      <c r="K189" s="61"/>
      <c r="L189" s="61"/>
      <c r="M189" s="61"/>
      <c r="N189" s="61"/>
      <c r="O189" s="61"/>
      <c r="P189" s="61"/>
      <c r="Q189" s="61"/>
      <c r="R189" s="61"/>
      <c r="S189" s="61"/>
      <c r="T189" s="61"/>
      <c r="U189" s="61"/>
      <c r="V189" s="61"/>
      <c r="W189" s="61"/>
    </row>
    <row r="190" spans="1:23" s="17" customFormat="1" ht="15">
      <c r="A190" s="85"/>
      <c r="B190" s="184" t="s">
        <v>24</v>
      </c>
      <c r="C190" s="185"/>
      <c r="D190" s="151"/>
      <c r="E190" s="164"/>
      <c r="F190" s="165"/>
      <c r="G190" s="175"/>
      <c r="H190" s="61">
        <v>50333</v>
      </c>
      <c r="I190" s="61">
        <v>18341</v>
      </c>
      <c r="J190" s="61"/>
      <c r="K190" s="61"/>
      <c r="L190" s="61"/>
      <c r="M190" s="61"/>
      <c r="N190" s="61"/>
      <c r="O190" s="61"/>
      <c r="P190" s="61"/>
      <c r="Q190" s="61"/>
      <c r="R190" s="61"/>
      <c r="S190" s="61"/>
      <c r="T190" s="61"/>
      <c r="U190" s="61"/>
      <c r="V190" s="61"/>
      <c r="W190" s="61"/>
    </row>
    <row r="191" spans="1:23" ht="180">
      <c r="A191" s="8">
        <v>31</v>
      </c>
      <c r="B191" s="58" t="s">
        <v>77</v>
      </c>
      <c r="C191" s="84" t="s">
        <v>281</v>
      </c>
      <c r="D191" s="178" t="s">
        <v>179</v>
      </c>
      <c r="E191" s="212" t="s">
        <v>38</v>
      </c>
      <c r="F191" s="213"/>
      <c r="G191" s="209" t="s">
        <v>119</v>
      </c>
      <c r="H191" s="30">
        <f>SUM(H192,H195)</f>
        <v>6202745</v>
      </c>
      <c r="I191" s="30">
        <f t="shared" ref="I191:L191" si="69">SUM(I192,I195)</f>
        <v>984714</v>
      </c>
      <c r="J191" s="30">
        <f t="shared" si="69"/>
        <v>992623</v>
      </c>
      <c r="K191" s="30">
        <f t="shared" si="69"/>
        <v>1021762</v>
      </c>
      <c r="L191" s="30">
        <f t="shared" si="69"/>
        <v>542869</v>
      </c>
      <c r="M191" s="59"/>
      <c r="N191" s="59"/>
      <c r="O191" s="59"/>
      <c r="P191" s="59"/>
      <c r="Q191" s="59"/>
      <c r="R191" s="59"/>
      <c r="S191" s="59"/>
      <c r="T191" s="59"/>
      <c r="U191" s="59"/>
      <c r="V191" s="59"/>
      <c r="W191" s="59">
        <f>90000+2467254</f>
        <v>2557254</v>
      </c>
    </row>
    <row r="192" spans="1:23" ht="15">
      <c r="A192" s="166" t="s">
        <v>12</v>
      </c>
      <c r="B192" s="167"/>
      <c r="C192" s="168"/>
      <c r="D192" s="170"/>
      <c r="E192" s="214"/>
      <c r="F192" s="215"/>
      <c r="G192" s="210"/>
      <c r="H192" s="57">
        <f>SUM(H193:H194)</f>
        <v>6135672</v>
      </c>
      <c r="I192" s="57">
        <f t="shared" ref="I192:L192" si="70">SUM(I193:I194)</f>
        <v>984714</v>
      </c>
      <c r="J192" s="57">
        <f t="shared" si="70"/>
        <v>992623</v>
      </c>
      <c r="K192" s="57">
        <f t="shared" si="70"/>
        <v>1021762</v>
      </c>
      <c r="L192" s="57">
        <f t="shared" si="70"/>
        <v>542869</v>
      </c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</row>
    <row r="193" spans="1:23" ht="15">
      <c r="A193" s="18"/>
      <c r="B193" s="197" t="s">
        <v>23</v>
      </c>
      <c r="C193" s="198"/>
      <c r="D193" s="170"/>
      <c r="E193" s="214"/>
      <c r="F193" s="215"/>
      <c r="G193" s="210"/>
      <c r="H193" s="57">
        <v>5215322</v>
      </c>
      <c r="I193" s="57">
        <v>837007</v>
      </c>
      <c r="J193" s="57">
        <v>843730</v>
      </c>
      <c r="K193" s="57">
        <v>868498</v>
      </c>
      <c r="L193" s="57">
        <v>461439</v>
      </c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</row>
    <row r="194" spans="1:23" ht="15">
      <c r="A194" s="18"/>
      <c r="B194" s="197" t="s">
        <v>24</v>
      </c>
      <c r="C194" s="198"/>
      <c r="D194" s="170"/>
      <c r="E194" s="214"/>
      <c r="F194" s="215"/>
      <c r="G194" s="210"/>
      <c r="H194" s="57">
        <v>920350</v>
      </c>
      <c r="I194" s="3">
        <v>147707</v>
      </c>
      <c r="J194" s="3">
        <v>148893</v>
      </c>
      <c r="K194" s="11">
        <v>153264</v>
      </c>
      <c r="L194" s="10">
        <v>81430</v>
      </c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</row>
    <row r="195" spans="1:23" ht="15">
      <c r="A195" s="166" t="s">
        <v>11</v>
      </c>
      <c r="B195" s="167"/>
      <c r="C195" s="168"/>
      <c r="D195" s="170"/>
      <c r="E195" s="214"/>
      <c r="F195" s="215"/>
      <c r="G195" s="210"/>
      <c r="H195" s="57">
        <f>SUM(H196:H197)</f>
        <v>67073</v>
      </c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</row>
    <row r="196" spans="1:23" ht="15">
      <c r="A196" s="18"/>
      <c r="B196" s="197" t="s">
        <v>23</v>
      </c>
      <c r="C196" s="198"/>
      <c r="D196" s="170"/>
      <c r="E196" s="214"/>
      <c r="F196" s="215"/>
      <c r="G196" s="210"/>
      <c r="H196" s="57">
        <v>57012</v>
      </c>
      <c r="I196" s="3"/>
      <c r="J196" s="3"/>
      <c r="K196" s="11"/>
      <c r="L196" s="10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</row>
    <row r="197" spans="1:23" ht="15">
      <c r="A197" s="18"/>
      <c r="B197" s="197" t="s">
        <v>24</v>
      </c>
      <c r="C197" s="198"/>
      <c r="D197" s="171"/>
      <c r="E197" s="216"/>
      <c r="F197" s="217"/>
      <c r="G197" s="211"/>
      <c r="H197" s="57">
        <v>10061</v>
      </c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</row>
    <row r="198" spans="1:23" s="17" customFormat="1" ht="60">
      <c r="A198" s="69">
        <v>32</v>
      </c>
      <c r="B198" s="86" t="s">
        <v>294</v>
      </c>
      <c r="C198" s="86" t="s">
        <v>282</v>
      </c>
      <c r="D198" s="149" t="s">
        <v>15</v>
      </c>
      <c r="E198" s="172" t="s">
        <v>34</v>
      </c>
      <c r="F198" s="161"/>
      <c r="G198" s="173" t="s">
        <v>120</v>
      </c>
      <c r="H198" s="68">
        <f>SUM(H199,H202)</f>
        <v>1011316</v>
      </c>
      <c r="I198" s="68">
        <f t="shared" ref="I198:J198" si="71">SUM(I199,I202)</f>
        <v>348573</v>
      </c>
      <c r="J198" s="68">
        <f t="shared" si="71"/>
        <v>428222</v>
      </c>
      <c r="K198" s="68"/>
      <c r="L198" s="68"/>
      <c r="M198" s="68"/>
      <c r="N198" s="68"/>
      <c r="O198" s="68"/>
      <c r="P198" s="68"/>
      <c r="Q198" s="68"/>
      <c r="R198" s="68"/>
      <c r="S198" s="68"/>
      <c r="T198" s="68"/>
      <c r="U198" s="68"/>
      <c r="V198" s="68"/>
      <c r="W198" s="68">
        <v>428222</v>
      </c>
    </row>
    <row r="199" spans="1:23" s="17" customFormat="1" ht="15">
      <c r="A199" s="157" t="s">
        <v>12</v>
      </c>
      <c r="B199" s="158"/>
      <c r="C199" s="159"/>
      <c r="D199" s="150"/>
      <c r="E199" s="162"/>
      <c r="F199" s="163"/>
      <c r="G199" s="174"/>
      <c r="H199" s="61">
        <f>SUM(H200:H201)</f>
        <v>1011316</v>
      </c>
      <c r="I199" s="61">
        <f t="shared" ref="I199:J199" si="72">SUM(I200:I201)</f>
        <v>348573</v>
      </c>
      <c r="J199" s="61">
        <f t="shared" si="72"/>
        <v>428222</v>
      </c>
      <c r="K199" s="61"/>
      <c r="L199" s="61"/>
      <c r="M199" s="61"/>
      <c r="N199" s="61"/>
      <c r="O199" s="61"/>
      <c r="P199" s="61"/>
      <c r="Q199" s="61"/>
      <c r="R199" s="61"/>
      <c r="S199" s="61"/>
      <c r="T199" s="61"/>
      <c r="U199" s="61"/>
      <c r="V199" s="61"/>
      <c r="W199" s="61"/>
    </row>
    <row r="200" spans="1:23" s="17" customFormat="1" ht="15">
      <c r="A200" s="85"/>
      <c r="B200" s="184" t="s">
        <v>23</v>
      </c>
      <c r="C200" s="185"/>
      <c r="D200" s="150"/>
      <c r="E200" s="162"/>
      <c r="F200" s="163"/>
      <c r="G200" s="174"/>
      <c r="H200" s="61">
        <v>859619</v>
      </c>
      <c r="I200" s="61">
        <v>296287</v>
      </c>
      <c r="J200" s="61">
        <v>363989</v>
      </c>
      <c r="K200" s="61"/>
      <c r="L200" s="61"/>
      <c r="M200" s="61"/>
      <c r="N200" s="61"/>
      <c r="O200" s="61"/>
      <c r="P200" s="61"/>
      <c r="Q200" s="61"/>
      <c r="R200" s="61"/>
      <c r="S200" s="61"/>
      <c r="T200" s="61"/>
      <c r="U200" s="61"/>
      <c r="V200" s="61"/>
      <c r="W200" s="61"/>
    </row>
    <row r="201" spans="1:23" s="17" customFormat="1" ht="15">
      <c r="A201" s="85"/>
      <c r="B201" s="184" t="s">
        <v>24</v>
      </c>
      <c r="C201" s="185"/>
      <c r="D201" s="150"/>
      <c r="E201" s="162"/>
      <c r="F201" s="163"/>
      <c r="G201" s="174"/>
      <c r="H201" s="61">
        <v>151697</v>
      </c>
      <c r="I201" s="61">
        <v>52286</v>
      </c>
      <c r="J201" s="61">
        <v>64233</v>
      </c>
      <c r="K201" s="61"/>
      <c r="L201" s="61"/>
      <c r="M201" s="61"/>
      <c r="N201" s="61"/>
      <c r="O201" s="61"/>
      <c r="P201" s="61"/>
      <c r="Q201" s="61"/>
      <c r="R201" s="61"/>
      <c r="S201" s="61"/>
      <c r="T201" s="61"/>
      <c r="U201" s="61"/>
      <c r="V201" s="61"/>
      <c r="W201" s="61"/>
    </row>
    <row r="202" spans="1:23" s="17" customFormat="1" ht="15">
      <c r="A202" s="152" t="s">
        <v>4</v>
      </c>
      <c r="B202" s="153"/>
      <c r="C202" s="154"/>
      <c r="D202" s="151"/>
      <c r="E202" s="164"/>
      <c r="F202" s="165"/>
      <c r="G202" s="175"/>
      <c r="H202" s="61"/>
      <c r="I202" s="61"/>
      <c r="J202" s="61"/>
      <c r="K202" s="61"/>
      <c r="L202" s="61"/>
      <c r="M202" s="61"/>
      <c r="N202" s="61"/>
      <c r="O202" s="61"/>
      <c r="P202" s="61"/>
      <c r="Q202" s="61"/>
      <c r="R202" s="61"/>
      <c r="S202" s="61"/>
      <c r="T202" s="61"/>
      <c r="U202" s="61"/>
      <c r="V202" s="61"/>
      <c r="W202" s="61"/>
    </row>
    <row r="203" spans="1:23" s="17" customFormat="1" ht="121.5" customHeight="1">
      <c r="A203" s="69">
        <v>33</v>
      </c>
      <c r="B203" s="69" t="s">
        <v>193</v>
      </c>
      <c r="C203" s="86" t="s">
        <v>283</v>
      </c>
      <c r="D203" s="149" t="s">
        <v>145</v>
      </c>
      <c r="E203" s="172" t="s">
        <v>32</v>
      </c>
      <c r="F203" s="161"/>
      <c r="G203" s="220" t="s">
        <v>127</v>
      </c>
      <c r="H203" s="68">
        <f>SUM(H204:H205)</f>
        <v>99000000</v>
      </c>
      <c r="I203" s="68">
        <f t="shared" ref="I203:L203" si="73">SUM(I204:I205)</f>
        <v>3100000</v>
      </c>
      <c r="J203" s="68">
        <f t="shared" si="73"/>
        <v>20180000</v>
      </c>
      <c r="K203" s="68">
        <f t="shared" si="73"/>
        <v>32770000</v>
      </c>
      <c r="L203" s="68">
        <f t="shared" si="73"/>
        <v>42950000</v>
      </c>
      <c r="M203" s="68"/>
      <c r="N203" s="68"/>
      <c r="O203" s="68"/>
      <c r="P203" s="68"/>
      <c r="Q203" s="68"/>
      <c r="R203" s="68"/>
      <c r="S203" s="68"/>
      <c r="T203" s="68"/>
      <c r="U203" s="68"/>
      <c r="V203" s="68"/>
      <c r="W203" s="68">
        <f>55000000-21500000</f>
        <v>33500000</v>
      </c>
    </row>
    <row r="204" spans="1:23" s="17" customFormat="1" ht="15">
      <c r="A204" s="157" t="s">
        <v>3</v>
      </c>
      <c r="B204" s="158"/>
      <c r="C204" s="159"/>
      <c r="D204" s="150"/>
      <c r="E204" s="162"/>
      <c r="F204" s="163"/>
      <c r="G204" s="174"/>
      <c r="H204" s="61"/>
      <c r="I204" s="61"/>
      <c r="J204" s="61"/>
      <c r="K204" s="61"/>
      <c r="L204" s="61"/>
      <c r="M204" s="61"/>
      <c r="N204" s="61"/>
      <c r="O204" s="61"/>
      <c r="P204" s="61"/>
      <c r="Q204" s="61"/>
      <c r="R204" s="61"/>
      <c r="S204" s="61"/>
      <c r="T204" s="61"/>
      <c r="U204" s="61"/>
      <c r="V204" s="61"/>
      <c r="W204" s="61"/>
    </row>
    <row r="205" spans="1:23" s="17" customFormat="1" ht="15">
      <c r="A205" s="157" t="s">
        <v>11</v>
      </c>
      <c r="B205" s="158"/>
      <c r="C205" s="159"/>
      <c r="D205" s="150"/>
      <c r="E205" s="162"/>
      <c r="F205" s="163"/>
      <c r="G205" s="174"/>
      <c r="H205" s="61">
        <f>SUM(H206:H207)</f>
        <v>99000000</v>
      </c>
      <c r="I205" s="61">
        <f t="shared" ref="I205:L205" si="74">SUM(I206:I207)</f>
        <v>3100000</v>
      </c>
      <c r="J205" s="61">
        <f t="shared" si="74"/>
        <v>20180000</v>
      </c>
      <c r="K205" s="61">
        <f t="shared" si="74"/>
        <v>32770000</v>
      </c>
      <c r="L205" s="61">
        <f t="shared" si="74"/>
        <v>42950000</v>
      </c>
      <c r="M205" s="61"/>
      <c r="N205" s="61"/>
      <c r="O205" s="61"/>
      <c r="P205" s="61"/>
      <c r="Q205" s="61"/>
      <c r="R205" s="61"/>
      <c r="S205" s="61"/>
      <c r="T205" s="61"/>
      <c r="U205" s="61"/>
      <c r="V205" s="61"/>
      <c r="W205" s="61"/>
    </row>
    <row r="206" spans="1:23" s="17" customFormat="1" ht="15">
      <c r="A206" s="85"/>
      <c r="B206" s="155" t="s">
        <v>23</v>
      </c>
      <c r="C206" s="156"/>
      <c r="D206" s="150"/>
      <c r="E206" s="162"/>
      <c r="F206" s="163"/>
      <c r="G206" s="174"/>
      <c r="H206" s="61">
        <f>SUM(I206:L206)</f>
        <v>30000000</v>
      </c>
      <c r="I206" s="61">
        <v>0</v>
      </c>
      <c r="J206" s="61">
        <v>7000000</v>
      </c>
      <c r="K206" s="61">
        <v>13000000</v>
      </c>
      <c r="L206" s="61">
        <v>10000000</v>
      </c>
      <c r="M206" s="61"/>
      <c r="N206" s="61"/>
      <c r="O206" s="61"/>
      <c r="P206" s="61"/>
      <c r="Q206" s="61"/>
      <c r="R206" s="61"/>
      <c r="S206" s="61"/>
      <c r="T206" s="61"/>
      <c r="U206" s="61"/>
      <c r="V206" s="61"/>
      <c r="W206" s="61"/>
    </row>
    <row r="207" spans="1:23" s="17" customFormat="1" ht="15">
      <c r="A207" s="85"/>
      <c r="B207" s="155" t="s">
        <v>25</v>
      </c>
      <c r="C207" s="156"/>
      <c r="D207" s="151"/>
      <c r="E207" s="164"/>
      <c r="F207" s="165"/>
      <c r="G207" s="175"/>
      <c r="H207" s="61">
        <f>SUM(I207:L207)</f>
        <v>69000000</v>
      </c>
      <c r="I207" s="61">
        <f>2600000+500000</f>
        <v>3100000</v>
      </c>
      <c r="J207" s="61">
        <f>7000000+6180000</f>
        <v>13180000</v>
      </c>
      <c r="K207" s="61">
        <f>13000000+6770000</f>
        <v>19770000</v>
      </c>
      <c r="L207" s="61">
        <f>12400000+20550000</f>
        <v>32950000</v>
      </c>
      <c r="M207" s="61"/>
      <c r="N207" s="61"/>
      <c r="O207" s="61"/>
      <c r="P207" s="61"/>
      <c r="Q207" s="61"/>
      <c r="R207" s="61"/>
      <c r="S207" s="61"/>
      <c r="T207" s="61"/>
      <c r="U207" s="61"/>
      <c r="V207" s="61"/>
      <c r="W207" s="61"/>
    </row>
    <row r="208" spans="1:23" s="17" customFormat="1" ht="151.5" customHeight="1">
      <c r="A208" s="69">
        <v>34</v>
      </c>
      <c r="B208" s="69" t="s">
        <v>227</v>
      </c>
      <c r="C208" s="69" t="s">
        <v>228</v>
      </c>
      <c r="D208" s="149" t="s">
        <v>145</v>
      </c>
      <c r="E208" s="172" t="s">
        <v>167</v>
      </c>
      <c r="F208" s="161"/>
      <c r="G208" s="220" t="s">
        <v>127</v>
      </c>
      <c r="H208" s="68">
        <f>SUM(H209,H212)</f>
        <v>508443</v>
      </c>
      <c r="I208" s="68">
        <f t="shared" ref="I208:K208" si="75">SUM(I209,I212)</f>
        <v>159481</v>
      </c>
      <c r="J208" s="68">
        <f t="shared" si="75"/>
        <v>164981</v>
      </c>
      <c r="K208" s="68">
        <f t="shared" si="75"/>
        <v>183981</v>
      </c>
      <c r="L208" s="68"/>
      <c r="M208" s="68"/>
      <c r="N208" s="68"/>
      <c r="O208" s="68"/>
      <c r="P208" s="68"/>
      <c r="Q208" s="68"/>
      <c r="R208" s="68"/>
      <c r="S208" s="68"/>
      <c r="T208" s="68"/>
      <c r="U208" s="68"/>
      <c r="V208" s="68"/>
      <c r="W208" s="68">
        <v>348962</v>
      </c>
    </row>
    <row r="209" spans="1:23" s="17" customFormat="1" ht="15">
      <c r="A209" s="157" t="s">
        <v>12</v>
      </c>
      <c r="B209" s="158"/>
      <c r="C209" s="159"/>
      <c r="D209" s="150"/>
      <c r="E209" s="162"/>
      <c r="F209" s="163"/>
      <c r="G209" s="174"/>
      <c r="H209" s="61">
        <f>SUM(H210:H211)</f>
        <v>508443</v>
      </c>
      <c r="I209" s="61">
        <f t="shared" ref="I209:K209" si="76">SUM(I210:I211)</f>
        <v>159481</v>
      </c>
      <c r="J209" s="61">
        <f t="shared" si="76"/>
        <v>164981</v>
      </c>
      <c r="K209" s="61">
        <f t="shared" si="76"/>
        <v>183981</v>
      </c>
      <c r="L209" s="61"/>
      <c r="M209" s="61"/>
      <c r="N209" s="61"/>
      <c r="O209" s="61"/>
      <c r="P209" s="61"/>
      <c r="Q209" s="61"/>
      <c r="R209" s="61"/>
      <c r="S209" s="61"/>
      <c r="T209" s="61"/>
      <c r="U209" s="61"/>
      <c r="V209" s="61"/>
      <c r="W209" s="61"/>
    </row>
    <row r="210" spans="1:23" s="17" customFormat="1" ht="15" customHeight="1">
      <c r="A210" s="89"/>
      <c r="B210" s="101" t="s">
        <v>23</v>
      </c>
      <c r="C210" s="100"/>
      <c r="D210" s="150"/>
      <c r="E210" s="162"/>
      <c r="F210" s="163"/>
      <c r="G210" s="174"/>
      <c r="H210" s="61">
        <v>432177</v>
      </c>
      <c r="I210" s="61">
        <v>135559</v>
      </c>
      <c r="J210" s="61">
        <v>140234</v>
      </c>
      <c r="K210" s="61">
        <v>156384</v>
      </c>
      <c r="L210" s="61"/>
      <c r="M210" s="61"/>
      <c r="N210" s="61"/>
      <c r="O210" s="61"/>
      <c r="P210" s="61"/>
      <c r="Q210" s="61"/>
      <c r="R210" s="61"/>
      <c r="S210" s="61"/>
      <c r="T210" s="61"/>
      <c r="U210" s="61"/>
      <c r="V210" s="61"/>
      <c r="W210" s="61"/>
    </row>
    <row r="211" spans="1:23" s="17" customFormat="1" ht="15">
      <c r="A211" s="85"/>
      <c r="B211" s="155" t="s">
        <v>25</v>
      </c>
      <c r="C211" s="156"/>
      <c r="D211" s="150"/>
      <c r="E211" s="162"/>
      <c r="F211" s="163"/>
      <c r="G211" s="174"/>
      <c r="H211" s="61">
        <v>76266</v>
      </c>
      <c r="I211" s="61">
        <v>23922</v>
      </c>
      <c r="J211" s="61">
        <v>24747</v>
      </c>
      <c r="K211" s="61">
        <v>27597</v>
      </c>
      <c r="L211" s="61"/>
      <c r="M211" s="61"/>
      <c r="N211" s="61"/>
      <c r="O211" s="61"/>
      <c r="P211" s="61"/>
      <c r="Q211" s="61"/>
      <c r="R211" s="61"/>
      <c r="S211" s="61"/>
      <c r="T211" s="61"/>
      <c r="U211" s="61"/>
      <c r="V211" s="61"/>
      <c r="W211" s="61"/>
    </row>
    <row r="212" spans="1:23" s="17" customFormat="1" ht="15">
      <c r="A212" s="157" t="s">
        <v>4</v>
      </c>
      <c r="B212" s="158"/>
      <c r="C212" s="159"/>
      <c r="D212" s="150"/>
      <c r="E212" s="162"/>
      <c r="F212" s="163"/>
      <c r="G212" s="174"/>
      <c r="H212" s="61"/>
      <c r="I212" s="61"/>
      <c r="J212" s="61"/>
      <c r="K212" s="61"/>
      <c r="L212" s="61"/>
      <c r="M212" s="61"/>
      <c r="N212" s="61"/>
      <c r="O212" s="61"/>
      <c r="P212" s="61"/>
      <c r="Q212" s="61"/>
      <c r="R212" s="61"/>
      <c r="S212" s="61"/>
      <c r="T212" s="61"/>
      <c r="U212" s="61"/>
      <c r="V212" s="61"/>
      <c r="W212" s="61"/>
    </row>
    <row r="213" spans="1:23" s="17" customFormat="1" ht="151.5" customHeight="1">
      <c r="A213" s="69">
        <v>35</v>
      </c>
      <c r="B213" s="86" t="s">
        <v>271</v>
      </c>
      <c r="C213" s="86" t="s">
        <v>272</v>
      </c>
      <c r="D213" s="149" t="s">
        <v>145</v>
      </c>
      <c r="E213" s="172" t="s">
        <v>167</v>
      </c>
      <c r="F213" s="161"/>
      <c r="G213" s="220" t="s">
        <v>127</v>
      </c>
      <c r="H213" s="68">
        <f>SUM(H214,H217)</f>
        <v>512035</v>
      </c>
      <c r="I213" s="68">
        <f t="shared" ref="I213:K213" si="77">SUM(I214,I217)</f>
        <v>168700</v>
      </c>
      <c r="J213" s="68">
        <f t="shared" si="77"/>
        <v>210093</v>
      </c>
      <c r="K213" s="68">
        <f t="shared" si="77"/>
        <v>133242</v>
      </c>
      <c r="L213" s="68"/>
      <c r="M213" s="68"/>
      <c r="N213" s="68"/>
      <c r="O213" s="68"/>
      <c r="P213" s="68"/>
      <c r="Q213" s="68"/>
      <c r="R213" s="68"/>
      <c r="S213" s="68"/>
      <c r="T213" s="68"/>
      <c r="U213" s="68"/>
      <c r="V213" s="68"/>
      <c r="W213" s="68">
        <v>343335</v>
      </c>
    </row>
    <row r="214" spans="1:23" s="17" customFormat="1" ht="15">
      <c r="A214" s="157" t="s">
        <v>12</v>
      </c>
      <c r="B214" s="158"/>
      <c r="C214" s="159"/>
      <c r="D214" s="150"/>
      <c r="E214" s="162"/>
      <c r="F214" s="163"/>
      <c r="G214" s="174"/>
      <c r="H214" s="61">
        <f>SUM(H215:H216)</f>
        <v>512035</v>
      </c>
      <c r="I214" s="61">
        <f t="shared" ref="I214:K214" si="78">SUM(I215:I216)</f>
        <v>168700</v>
      </c>
      <c r="J214" s="61">
        <f t="shared" si="78"/>
        <v>210093</v>
      </c>
      <c r="K214" s="61">
        <f t="shared" si="78"/>
        <v>133242</v>
      </c>
      <c r="L214" s="61"/>
      <c r="M214" s="61"/>
      <c r="N214" s="61"/>
      <c r="O214" s="61"/>
      <c r="P214" s="61"/>
      <c r="Q214" s="61"/>
      <c r="R214" s="61"/>
      <c r="S214" s="61"/>
      <c r="T214" s="61"/>
      <c r="U214" s="61"/>
      <c r="V214" s="61"/>
      <c r="W214" s="61"/>
    </row>
    <row r="215" spans="1:23" s="17" customFormat="1" ht="15" customHeight="1">
      <c r="A215" s="89"/>
      <c r="B215" s="107" t="s">
        <v>23</v>
      </c>
      <c r="C215" s="106"/>
      <c r="D215" s="150"/>
      <c r="E215" s="162"/>
      <c r="F215" s="163"/>
      <c r="G215" s="174"/>
      <c r="H215" s="61">
        <v>435231</v>
      </c>
      <c r="I215" s="61">
        <v>143395</v>
      </c>
      <c r="J215" s="61">
        <v>178580</v>
      </c>
      <c r="K215" s="61">
        <v>113256</v>
      </c>
      <c r="L215" s="61"/>
      <c r="M215" s="61"/>
      <c r="N215" s="61"/>
      <c r="O215" s="61"/>
      <c r="P215" s="61"/>
      <c r="Q215" s="61"/>
      <c r="R215" s="61"/>
      <c r="S215" s="61"/>
      <c r="T215" s="61"/>
      <c r="U215" s="61"/>
      <c r="V215" s="61"/>
      <c r="W215" s="61"/>
    </row>
    <row r="216" spans="1:23" s="17" customFormat="1" ht="15">
      <c r="A216" s="85"/>
      <c r="B216" s="155" t="s">
        <v>25</v>
      </c>
      <c r="C216" s="156"/>
      <c r="D216" s="150"/>
      <c r="E216" s="162"/>
      <c r="F216" s="163"/>
      <c r="G216" s="174"/>
      <c r="H216" s="61">
        <v>76804</v>
      </c>
      <c r="I216" s="61">
        <v>25305</v>
      </c>
      <c r="J216" s="61">
        <v>31513</v>
      </c>
      <c r="K216" s="61">
        <v>19986</v>
      </c>
      <c r="L216" s="61"/>
      <c r="M216" s="61"/>
      <c r="N216" s="61"/>
      <c r="O216" s="61"/>
      <c r="P216" s="61"/>
      <c r="Q216" s="61"/>
      <c r="R216" s="61"/>
      <c r="S216" s="61"/>
      <c r="T216" s="61"/>
      <c r="U216" s="61"/>
      <c r="V216" s="61"/>
      <c r="W216" s="61"/>
    </row>
    <row r="217" spans="1:23" s="17" customFormat="1" ht="15">
      <c r="A217" s="157" t="s">
        <v>4</v>
      </c>
      <c r="B217" s="158"/>
      <c r="C217" s="159"/>
      <c r="D217" s="150"/>
      <c r="E217" s="162"/>
      <c r="F217" s="163"/>
      <c r="G217" s="174"/>
      <c r="H217" s="61"/>
      <c r="I217" s="61"/>
      <c r="J217" s="61"/>
      <c r="K217" s="61"/>
      <c r="L217" s="61"/>
      <c r="M217" s="61"/>
      <c r="N217" s="61"/>
      <c r="O217" s="61"/>
      <c r="P217" s="61"/>
      <c r="Q217" s="61"/>
      <c r="R217" s="61"/>
      <c r="S217" s="61"/>
      <c r="T217" s="61"/>
      <c r="U217" s="61"/>
      <c r="V217" s="61"/>
      <c r="W217" s="61"/>
    </row>
    <row r="218" spans="1:23" s="17" customFormat="1" ht="195">
      <c r="A218" s="69">
        <v>36</v>
      </c>
      <c r="B218" s="77" t="s">
        <v>147</v>
      </c>
      <c r="C218" s="90" t="s">
        <v>148</v>
      </c>
      <c r="D218" s="149" t="s">
        <v>180</v>
      </c>
      <c r="E218" s="172" t="s">
        <v>36</v>
      </c>
      <c r="F218" s="161"/>
      <c r="G218" s="173" t="s">
        <v>149</v>
      </c>
      <c r="H218" s="68">
        <f>SUM(H219,H221)</f>
        <v>9350000</v>
      </c>
      <c r="I218" s="68">
        <f t="shared" ref="I218:K218" si="79">SUM(I219,I221)</f>
        <v>3242460</v>
      </c>
      <c r="J218" s="68">
        <f t="shared" si="79"/>
        <v>3222610</v>
      </c>
      <c r="K218" s="68">
        <f t="shared" si="79"/>
        <v>2518935</v>
      </c>
      <c r="L218" s="61"/>
      <c r="M218" s="61"/>
      <c r="N218" s="61"/>
      <c r="O218" s="61"/>
      <c r="P218" s="61"/>
      <c r="Q218" s="61"/>
      <c r="R218" s="61"/>
      <c r="S218" s="61"/>
      <c r="T218" s="61"/>
      <c r="U218" s="61"/>
      <c r="V218" s="61"/>
      <c r="W218" s="91">
        <f>8009609-5803954+1115482</f>
        <v>3321137</v>
      </c>
    </row>
    <row r="219" spans="1:23" s="17" customFormat="1" ht="15">
      <c r="A219" s="152" t="s">
        <v>12</v>
      </c>
      <c r="B219" s="153"/>
      <c r="C219" s="154"/>
      <c r="D219" s="150"/>
      <c r="E219" s="162"/>
      <c r="F219" s="163"/>
      <c r="G219" s="174"/>
      <c r="H219" s="61">
        <f>H220</f>
        <v>8966426</v>
      </c>
      <c r="I219" s="61">
        <f t="shared" ref="I219:K219" si="80">I220</f>
        <v>2864908</v>
      </c>
      <c r="J219" s="61">
        <f t="shared" si="80"/>
        <v>3222610</v>
      </c>
      <c r="K219" s="61">
        <f t="shared" si="80"/>
        <v>2518935</v>
      </c>
      <c r="L219" s="61"/>
      <c r="M219" s="61"/>
      <c r="N219" s="61"/>
      <c r="O219" s="61"/>
      <c r="P219" s="61"/>
      <c r="Q219" s="61"/>
      <c r="R219" s="61"/>
      <c r="S219" s="61"/>
      <c r="T219" s="61"/>
      <c r="U219" s="61"/>
      <c r="V219" s="61"/>
      <c r="W219" s="91"/>
    </row>
    <row r="220" spans="1:23" s="17" customFormat="1" ht="15">
      <c r="A220" s="85"/>
      <c r="B220" s="184" t="s">
        <v>23</v>
      </c>
      <c r="C220" s="185"/>
      <c r="D220" s="150"/>
      <c r="E220" s="162"/>
      <c r="F220" s="163"/>
      <c r="G220" s="174"/>
      <c r="H220" s="61">
        <v>8966426</v>
      </c>
      <c r="I220" s="61">
        <v>2864908</v>
      </c>
      <c r="J220" s="61">
        <v>3222610</v>
      </c>
      <c r="K220" s="61">
        <v>2518935</v>
      </c>
      <c r="L220" s="61"/>
      <c r="M220" s="61"/>
      <c r="N220" s="61"/>
      <c r="O220" s="61"/>
      <c r="P220" s="61"/>
      <c r="Q220" s="61"/>
      <c r="R220" s="61"/>
      <c r="S220" s="61"/>
      <c r="T220" s="61"/>
      <c r="U220" s="61"/>
      <c r="V220" s="61"/>
      <c r="W220" s="91"/>
    </row>
    <row r="221" spans="1:23" s="17" customFormat="1" ht="15">
      <c r="A221" s="152" t="s">
        <v>11</v>
      </c>
      <c r="B221" s="153"/>
      <c r="C221" s="154"/>
      <c r="D221" s="150"/>
      <c r="E221" s="162"/>
      <c r="F221" s="163"/>
      <c r="G221" s="174"/>
      <c r="H221" s="61">
        <f>H222</f>
        <v>383574</v>
      </c>
      <c r="I221" s="61">
        <f>I222</f>
        <v>377552</v>
      </c>
      <c r="J221" s="61"/>
      <c r="K221" s="61"/>
      <c r="L221" s="61"/>
      <c r="M221" s="61"/>
      <c r="N221" s="61"/>
      <c r="O221" s="61"/>
      <c r="P221" s="61"/>
      <c r="Q221" s="61"/>
      <c r="R221" s="61"/>
      <c r="S221" s="61"/>
      <c r="T221" s="61"/>
      <c r="U221" s="61"/>
      <c r="V221" s="61"/>
      <c r="W221" s="91"/>
    </row>
    <row r="222" spans="1:23" s="17" customFormat="1" ht="15">
      <c r="A222" s="85"/>
      <c r="B222" s="184" t="s">
        <v>23</v>
      </c>
      <c r="C222" s="185"/>
      <c r="D222" s="151"/>
      <c r="E222" s="164"/>
      <c r="F222" s="165"/>
      <c r="G222" s="175"/>
      <c r="H222" s="61">
        <v>383574</v>
      </c>
      <c r="I222" s="61">
        <v>377552</v>
      </c>
      <c r="J222" s="61"/>
      <c r="K222" s="61"/>
      <c r="L222" s="61"/>
      <c r="M222" s="61"/>
      <c r="N222" s="61"/>
      <c r="O222" s="61"/>
      <c r="P222" s="61"/>
      <c r="Q222" s="61"/>
      <c r="R222" s="61"/>
      <c r="S222" s="61"/>
      <c r="T222" s="61"/>
      <c r="U222" s="61"/>
      <c r="V222" s="61"/>
      <c r="W222" s="91"/>
    </row>
    <row r="223" spans="1:23" s="17" customFormat="1" ht="150">
      <c r="A223" s="69">
        <v>37</v>
      </c>
      <c r="B223" s="77" t="s">
        <v>259</v>
      </c>
      <c r="C223" s="90" t="s">
        <v>260</v>
      </c>
      <c r="D223" s="190" t="s">
        <v>21</v>
      </c>
      <c r="E223" s="160" t="s">
        <v>167</v>
      </c>
      <c r="F223" s="161"/>
      <c r="G223" s="269" t="s">
        <v>128</v>
      </c>
      <c r="H223" s="68">
        <f>SUM(H224,H227)</f>
        <v>64454091</v>
      </c>
      <c r="I223" s="68">
        <f t="shared" ref="I223:K223" si="81">SUM(I224,I227)</f>
        <v>10774198</v>
      </c>
      <c r="J223" s="68">
        <f t="shared" si="81"/>
        <v>22445261</v>
      </c>
      <c r="K223" s="68">
        <f t="shared" si="81"/>
        <v>31234632</v>
      </c>
      <c r="L223" s="61"/>
      <c r="M223" s="61"/>
      <c r="N223" s="61"/>
      <c r="O223" s="61"/>
      <c r="P223" s="61"/>
      <c r="Q223" s="61"/>
      <c r="R223" s="61"/>
      <c r="S223" s="61"/>
      <c r="T223" s="61"/>
      <c r="U223" s="61"/>
      <c r="V223" s="61"/>
      <c r="W223" s="91">
        <f>54835302-1155409</f>
        <v>53679893</v>
      </c>
    </row>
    <row r="224" spans="1:23" s="17" customFormat="1" ht="15">
      <c r="A224" s="152" t="s">
        <v>12</v>
      </c>
      <c r="B224" s="153"/>
      <c r="C224" s="154"/>
      <c r="D224" s="150"/>
      <c r="E224" s="162"/>
      <c r="F224" s="163"/>
      <c r="G224" s="274"/>
      <c r="H224" s="61">
        <f>SUM(H225:H226)</f>
        <v>62162455</v>
      </c>
      <c r="I224" s="61">
        <f t="shared" ref="I224:K224" si="82">SUM(I225:I226)</f>
        <v>10629598</v>
      </c>
      <c r="J224" s="61">
        <f t="shared" si="82"/>
        <v>20560675</v>
      </c>
      <c r="K224" s="61">
        <f t="shared" si="82"/>
        <v>30972182</v>
      </c>
      <c r="L224" s="61"/>
      <c r="M224" s="61"/>
      <c r="N224" s="61"/>
      <c r="O224" s="61"/>
      <c r="P224" s="61"/>
      <c r="Q224" s="61"/>
      <c r="R224" s="61"/>
      <c r="S224" s="61"/>
      <c r="T224" s="61"/>
      <c r="U224" s="61"/>
      <c r="V224" s="61"/>
      <c r="W224" s="91"/>
    </row>
    <row r="225" spans="1:23" s="17" customFormat="1" ht="15">
      <c r="A225" s="85"/>
      <c r="B225" s="184" t="s">
        <v>23</v>
      </c>
      <c r="C225" s="185"/>
      <c r="D225" s="150"/>
      <c r="E225" s="162"/>
      <c r="F225" s="163"/>
      <c r="G225" s="274"/>
      <c r="H225" s="61">
        <v>60375593</v>
      </c>
      <c r="I225" s="61">
        <v>10294813</v>
      </c>
      <c r="J225" s="61">
        <v>19952843</v>
      </c>
      <c r="K225" s="61">
        <v>30127937</v>
      </c>
      <c r="L225" s="61"/>
      <c r="M225" s="61"/>
      <c r="N225" s="61"/>
      <c r="O225" s="61"/>
      <c r="P225" s="61"/>
      <c r="Q225" s="61"/>
      <c r="R225" s="61"/>
      <c r="S225" s="61"/>
      <c r="T225" s="61"/>
      <c r="U225" s="61"/>
      <c r="V225" s="61"/>
      <c r="W225" s="91"/>
    </row>
    <row r="226" spans="1:23" s="17" customFormat="1" ht="15">
      <c r="A226" s="85"/>
      <c r="B226" s="130" t="s">
        <v>24</v>
      </c>
      <c r="C226" s="131"/>
      <c r="D226" s="150"/>
      <c r="E226" s="162"/>
      <c r="F226" s="163"/>
      <c r="G226" s="274"/>
      <c r="H226" s="61">
        <v>1786862</v>
      </c>
      <c r="I226" s="61">
        <v>334785</v>
      </c>
      <c r="J226" s="61">
        <v>607832</v>
      </c>
      <c r="K226" s="61">
        <v>844245</v>
      </c>
      <c r="L226" s="61"/>
      <c r="M226" s="61"/>
      <c r="N226" s="61"/>
      <c r="O226" s="61"/>
      <c r="P226" s="61"/>
      <c r="Q226" s="61"/>
      <c r="R226" s="61"/>
      <c r="S226" s="61"/>
      <c r="T226" s="61"/>
      <c r="U226" s="61"/>
      <c r="V226" s="61"/>
      <c r="W226" s="91"/>
    </row>
    <row r="227" spans="1:23" s="17" customFormat="1" ht="15">
      <c r="A227" s="189" t="s">
        <v>11</v>
      </c>
      <c r="B227" s="153"/>
      <c r="C227" s="154"/>
      <c r="D227" s="150"/>
      <c r="E227" s="162"/>
      <c r="F227" s="163"/>
      <c r="G227" s="274"/>
      <c r="H227" s="61">
        <f>SUM(H228:H229)</f>
        <v>2291636</v>
      </c>
      <c r="I227" s="61">
        <f t="shared" ref="I227:K227" si="83">SUM(I228:I229)</f>
        <v>144600</v>
      </c>
      <c r="J227" s="61">
        <f t="shared" si="83"/>
        <v>1884586</v>
      </c>
      <c r="K227" s="61">
        <f t="shared" si="83"/>
        <v>262450</v>
      </c>
      <c r="L227" s="61"/>
      <c r="M227" s="61"/>
      <c r="N227" s="61"/>
      <c r="O227" s="61"/>
      <c r="P227" s="61"/>
      <c r="Q227" s="61"/>
      <c r="R227" s="61"/>
      <c r="S227" s="61"/>
      <c r="T227" s="61"/>
      <c r="U227" s="61"/>
      <c r="V227" s="61"/>
      <c r="W227" s="91"/>
    </row>
    <row r="228" spans="1:23" s="17" customFormat="1" ht="15">
      <c r="A228" s="85"/>
      <c r="B228" s="184" t="s">
        <v>23</v>
      </c>
      <c r="C228" s="185"/>
      <c r="D228" s="150"/>
      <c r="E228" s="162"/>
      <c r="F228" s="163"/>
      <c r="G228" s="274"/>
      <c r="H228" s="61">
        <v>2249204</v>
      </c>
      <c r="I228" s="61">
        <v>140000</v>
      </c>
      <c r="J228" s="61">
        <v>1852230</v>
      </c>
      <c r="K228" s="61">
        <v>256974</v>
      </c>
      <c r="L228" s="61"/>
      <c r="M228" s="61"/>
      <c r="N228" s="61"/>
      <c r="O228" s="61"/>
      <c r="P228" s="61"/>
      <c r="Q228" s="61"/>
      <c r="R228" s="61"/>
      <c r="S228" s="61"/>
      <c r="T228" s="61"/>
      <c r="U228" s="61"/>
      <c r="V228" s="61"/>
      <c r="W228" s="91"/>
    </row>
    <row r="229" spans="1:23" s="17" customFormat="1" ht="15">
      <c r="A229" s="85"/>
      <c r="B229" s="130" t="s">
        <v>24</v>
      </c>
      <c r="C229" s="131"/>
      <c r="D229" s="151"/>
      <c r="E229" s="164"/>
      <c r="F229" s="165"/>
      <c r="G229" s="275"/>
      <c r="H229" s="61">
        <v>42432</v>
      </c>
      <c r="I229" s="61">
        <v>4600</v>
      </c>
      <c r="J229" s="61">
        <v>32356</v>
      </c>
      <c r="K229" s="61">
        <v>5476</v>
      </c>
      <c r="L229" s="61"/>
      <c r="M229" s="61"/>
      <c r="N229" s="61"/>
      <c r="O229" s="61"/>
      <c r="P229" s="61"/>
      <c r="Q229" s="61"/>
      <c r="R229" s="61"/>
      <c r="S229" s="61"/>
      <c r="T229" s="61"/>
      <c r="U229" s="61"/>
      <c r="V229" s="61"/>
      <c r="W229" s="91"/>
    </row>
    <row r="230" spans="1:23" s="17" customFormat="1" ht="135">
      <c r="A230" s="69">
        <v>38</v>
      </c>
      <c r="B230" s="69" t="s">
        <v>185</v>
      </c>
      <c r="C230" s="69" t="s">
        <v>93</v>
      </c>
      <c r="D230" s="190" t="s">
        <v>145</v>
      </c>
      <c r="E230" s="172" t="s">
        <v>39</v>
      </c>
      <c r="F230" s="161"/>
      <c r="G230" s="173" t="s">
        <v>122</v>
      </c>
      <c r="H230" s="68">
        <f>SUM(H231,H235)</f>
        <v>18403499</v>
      </c>
      <c r="I230" s="68">
        <f t="shared" ref="I230:J230" si="84">SUM(I231,I235)</f>
        <v>5580085</v>
      </c>
      <c r="J230" s="68">
        <f t="shared" si="84"/>
        <v>6549390</v>
      </c>
      <c r="K230" s="68"/>
      <c r="L230" s="68"/>
      <c r="M230" s="68"/>
      <c r="N230" s="68"/>
      <c r="O230" s="68"/>
      <c r="P230" s="68"/>
      <c r="Q230" s="68"/>
      <c r="R230" s="68"/>
      <c r="S230" s="68"/>
      <c r="T230" s="68"/>
      <c r="U230" s="68"/>
      <c r="V230" s="68"/>
      <c r="W230" s="68">
        <f>4059600+3559208-611917-1596501</f>
        <v>5410390</v>
      </c>
    </row>
    <row r="231" spans="1:23" s="17" customFormat="1" ht="15">
      <c r="A231" s="152" t="s">
        <v>12</v>
      </c>
      <c r="B231" s="153"/>
      <c r="C231" s="154"/>
      <c r="D231" s="150"/>
      <c r="E231" s="162"/>
      <c r="F231" s="163"/>
      <c r="G231" s="174"/>
      <c r="H231" s="61">
        <f>SUM(H232:H234)</f>
        <v>18385723</v>
      </c>
      <c r="I231" s="61">
        <f t="shared" ref="I231:J231" si="85">SUM(I232:I234)</f>
        <v>5580085</v>
      </c>
      <c r="J231" s="61">
        <f t="shared" si="85"/>
        <v>6549390</v>
      </c>
      <c r="K231" s="61"/>
      <c r="L231" s="61"/>
      <c r="M231" s="61"/>
      <c r="N231" s="61"/>
      <c r="O231" s="61"/>
      <c r="P231" s="61"/>
      <c r="Q231" s="61"/>
      <c r="R231" s="61"/>
      <c r="S231" s="61"/>
      <c r="T231" s="61"/>
      <c r="U231" s="61"/>
      <c r="V231" s="61"/>
      <c r="W231" s="61"/>
    </row>
    <row r="232" spans="1:23" s="17" customFormat="1" ht="15">
      <c r="A232" s="85"/>
      <c r="B232" s="184" t="s">
        <v>23</v>
      </c>
      <c r="C232" s="185"/>
      <c r="D232" s="150"/>
      <c r="E232" s="162"/>
      <c r="F232" s="163"/>
      <c r="G232" s="174"/>
      <c r="H232" s="61">
        <v>15517770</v>
      </c>
      <c r="I232" s="61">
        <v>4742990</v>
      </c>
      <c r="J232" s="61">
        <v>5457007</v>
      </c>
      <c r="K232" s="61"/>
      <c r="L232" s="61"/>
      <c r="M232" s="61"/>
      <c r="N232" s="61"/>
      <c r="O232" s="61"/>
      <c r="P232" s="61"/>
      <c r="Q232" s="61"/>
      <c r="R232" s="61"/>
      <c r="S232" s="61"/>
      <c r="T232" s="61"/>
      <c r="U232" s="61"/>
      <c r="V232" s="61"/>
      <c r="W232" s="61"/>
    </row>
    <row r="233" spans="1:23" s="17" customFormat="1" ht="15">
      <c r="A233" s="85"/>
      <c r="B233" s="184" t="s">
        <v>25</v>
      </c>
      <c r="C233" s="185"/>
      <c r="D233" s="150"/>
      <c r="E233" s="162"/>
      <c r="F233" s="163"/>
      <c r="G233" s="174"/>
      <c r="H233" s="61">
        <v>1498667</v>
      </c>
      <c r="I233" s="61">
        <v>418547</v>
      </c>
      <c r="J233" s="61">
        <v>610882</v>
      </c>
      <c r="K233" s="61"/>
      <c r="L233" s="61"/>
      <c r="M233" s="61"/>
      <c r="N233" s="61"/>
      <c r="O233" s="61"/>
      <c r="P233" s="61"/>
      <c r="Q233" s="61"/>
      <c r="R233" s="61"/>
      <c r="S233" s="61"/>
      <c r="T233" s="61"/>
      <c r="U233" s="61"/>
      <c r="V233" s="61"/>
      <c r="W233" s="61"/>
    </row>
    <row r="234" spans="1:23" s="17" customFormat="1" ht="15">
      <c r="A234" s="85"/>
      <c r="B234" s="184" t="s">
        <v>24</v>
      </c>
      <c r="C234" s="185"/>
      <c r="D234" s="150"/>
      <c r="E234" s="162"/>
      <c r="F234" s="163"/>
      <c r="G234" s="174"/>
      <c r="H234" s="61">
        <v>1369286</v>
      </c>
      <c r="I234" s="61">
        <v>418548</v>
      </c>
      <c r="J234" s="61">
        <v>481501</v>
      </c>
      <c r="K234" s="61"/>
      <c r="L234" s="61"/>
      <c r="M234" s="61"/>
      <c r="N234" s="61"/>
      <c r="O234" s="61"/>
      <c r="P234" s="61"/>
      <c r="Q234" s="61"/>
      <c r="R234" s="61"/>
      <c r="S234" s="61"/>
      <c r="T234" s="61"/>
      <c r="U234" s="61"/>
      <c r="V234" s="61"/>
      <c r="W234" s="61"/>
    </row>
    <row r="235" spans="1:23" s="17" customFormat="1" ht="15">
      <c r="A235" s="152" t="s">
        <v>11</v>
      </c>
      <c r="B235" s="153"/>
      <c r="C235" s="154"/>
      <c r="D235" s="150"/>
      <c r="E235" s="162"/>
      <c r="F235" s="163"/>
      <c r="G235" s="174"/>
      <c r="H235" s="61">
        <f>SUM(H236:H238)</f>
        <v>17776</v>
      </c>
      <c r="I235" s="61"/>
      <c r="J235" s="61"/>
      <c r="K235" s="61"/>
      <c r="L235" s="61"/>
      <c r="M235" s="61"/>
      <c r="N235" s="61"/>
      <c r="O235" s="61"/>
      <c r="P235" s="61"/>
      <c r="Q235" s="61"/>
      <c r="R235" s="61"/>
      <c r="S235" s="61"/>
      <c r="T235" s="61"/>
      <c r="U235" s="61"/>
      <c r="V235" s="61"/>
      <c r="W235" s="61"/>
    </row>
    <row r="236" spans="1:23" s="17" customFormat="1" ht="15">
      <c r="A236" s="85"/>
      <c r="B236" s="184" t="s">
        <v>23</v>
      </c>
      <c r="C236" s="185"/>
      <c r="D236" s="150"/>
      <c r="E236" s="162"/>
      <c r="F236" s="163"/>
      <c r="G236" s="174"/>
      <c r="H236" s="61">
        <v>15109</v>
      </c>
      <c r="I236" s="61"/>
      <c r="J236" s="61"/>
      <c r="K236" s="61"/>
      <c r="L236" s="61"/>
      <c r="M236" s="61"/>
      <c r="N236" s="61"/>
      <c r="O236" s="61"/>
      <c r="P236" s="61"/>
      <c r="Q236" s="61"/>
      <c r="R236" s="61"/>
      <c r="S236" s="61"/>
      <c r="T236" s="61"/>
      <c r="U236" s="61"/>
      <c r="V236" s="61"/>
      <c r="W236" s="61"/>
    </row>
    <row r="237" spans="1:23" s="17" customFormat="1" ht="15">
      <c r="A237" s="85"/>
      <c r="B237" s="184" t="s">
        <v>25</v>
      </c>
      <c r="C237" s="185"/>
      <c r="D237" s="150"/>
      <c r="E237" s="162"/>
      <c r="F237" s="163"/>
      <c r="G237" s="174"/>
      <c r="H237" s="61">
        <v>1334</v>
      </c>
      <c r="I237" s="61"/>
      <c r="J237" s="61"/>
      <c r="K237" s="61"/>
      <c r="L237" s="61"/>
      <c r="M237" s="61"/>
      <c r="N237" s="61"/>
      <c r="O237" s="61"/>
      <c r="P237" s="61"/>
      <c r="Q237" s="61"/>
      <c r="R237" s="61"/>
      <c r="S237" s="61"/>
      <c r="T237" s="61"/>
      <c r="U237" s="61"/>
      <c r="V237" s="61"/>
      <c r="W237" s="61"/>
    </row>
    <row r="238" spans="1:23" s="17" customFormat="1" ht="15">
      <c r="A238" s="85"/>
      <c r="B238" s="184" t="s">
        <v>24</v>
      </c>
      <c r="C238" s="185"/>
      <c r="D238" s="151"/>
      <c r="E238" s="164"/>
      <c r="F238" s="165"/>
      <c r="G238" s="175"/>
      <c r="H238" s="61">
        <v>1333</v>
      </c>
      <c r="I238" s="61"/>
      <c r="J238" s="61"/>
      <c r="K238" s="61"/>
      <c r="L238" s="61"/>
      <c r="M238" s="61"/>
      <c r="N238" s="61"/>
      <c r="O238" s="61"/>
      <c r="P238" s="61"/>
      <c r="Q238" s="61"/>
      <c r="R238" s="61"/>
      <c r="S238" s="61"/>
      <c r="T238" s="61"/>
      <c r="U238" s="61"/>
      <c r="V238" s="61"/>
      <c r="W238" s="61"/>
    </row>
    <row r="239" spans="1:23" s="17" customFormat="1" ht="135">
      <c r="A239" s="69">
        <v>39</v>
      </c>
      <c r="B239" s="77" t="s">
        <v>100</v>
      </c>
      <c r="C239" s="90" t="s">
        <v>101</v>
      </c>
      <c r="D239" s="149" t="s">
        <v>15</v>
      </c>
      <c r="E239" s="172" t="s">
        <v>170</v>
      </c>
      <c r="F239" s="161"/>
      <c r="G239" s="173" t="s">
        <v>123</v>
      </c>
      <c r="H239" s="68">
        <f>SUM(H240,H243)</f>
        <v>16381341</v>
      </c>
      <c r="I239" s="68">
        <f t="shared" ref="I239:L239" si="86">SUM(I240,I243)</f>
        <v>431711</v>
      </c>
      <c r="J239" s="68">
        <f t="shared" si="86"/>
        <v>10978425</v>
      </c>
      <c r="K239" s="68">
        <f t="shared" si="86"/>
        <v>4115601</v>
      </c>
      <c r="L239" s="68">
        <f t="shared" si="86"/>
        <v>855604</v>
      </c>
      <c r="M239" s="68"/>
      <c r="N239" s="68"/>
      <c r="O239" s="68"/>
      <c r="P239" s="68"/>
      <c r="Q239" s="68"/>
      <c r="R239" s="68"/>
      <c r="S239" s="68"/>
      <c r="T239" s="68"/>
      <c r="U239" s="68"/>
      <c r="V239" s="68"/>
      <c r="W239" s="68">
        <v>0</v>
      </c>
    </row>
    <row r="240" spans="1:23" s="17" customFormat="1" ht="15">
      <c r="A240" s="152" t="s">
        <v>12</v>
      </c>
      <c r="B240" s="153"/>
      <c r="C240" s="154"/>
      <c r="D240" s="150"/>
      <c r="E240" s="162"/>
      <c r="F240" s="163"/>
      <c r="G240" s="174"/>
      <c r="H240" s="61">
        <f>SUM(H241:H242)</f>
        <v>4147140</v>
      </c>
      <c r="I240" s="61">
        <f t="shared" ref="I240:L240" si="87">SUM(I241:I242)</f>
        <v>397434</v>
      </c>
      <c r="J240" s="61">
        <f t="shared" si="87"/>
        <v>2281812</v>
      </c>
      <c r="K240" s="61">
        <f t="shared" si="87"/>
        <v>1115601</v>
      </c>
      <c r="L240" s="61">
        <f t="shared" si="87"/>
        <v>352293</v>
      </c>
      <c r="M240" s="61"/>
      <c r="N240" s="61"/>
      <c r="O240" s="61"/>
      <c r="P240" s="61"/>
      <c r="Q240" s="61"/>
      <c r="R240" s="61"/>
      <c r="S240" s="61"/>
      <c r="T240" s="61"/>
      <c r="U240" s="61"/>
      <c r="V240" s="61"/>
      <c r="W240" s="61"/>
    </row>
    <row r="241" spans="1:23" s="17" customFormat="1" ht="15">
      <c r="A241" s="85"/>
      <c r="B241" s="184" t="s">
        <v>23</v>
      </c>
      <c r="C241" s="185"/>
      <c r="D241" s="150"/>
      <c r="E241" s="162"/>
      <c r="F241" s="163"/>
      <c r="G241" s="174"/>
      <c r="H241" s="61">
        <v>3658905</v>
      </c>
      <c r="I241" s="61">
        <v>337819</v>
      </c>
      <c r="J241" s="61">
        <v>2042154</v>
      </c>
      <c r="K241" s="61">
        <v>979483</v>
      </c>
      <c r="L241" s="61">
        <v>299449</v>
      </c>
      <c r="M241" s="61"/>
      <c r="N241" s="61"/>
      <c r="O241" s="61"/>
      <c r="P241" s="61"/>
      <c r="Q241" s="61"/>
      <c r="R241" s="61"/>
      <c r="S241" s="61"/>
      <c r="T241" s="61"/>
      <c r="U241" s="61"/>
      <c r="V241" s="61"/>
      <c r="W241" s="61"/>
    </row>
    <row r="242" spans="1:23" s="17" customFormat="1" ht="15">
      <c r="A242" s="85"/>
      <c r="B242" s="184" t="s">
        <v>25</v>
      </c>
      <c r="C242" s="185"/>
      <c r="D242" s="150"/>
      <c r="E242" s="162"/>
      <c r="F242" s="163"/>
      <c r="G242" s="174"/>
      <c r="H242" s="61">
        <v>488235</v>
      </c>
      <c r="I242" s="61">
        <v>59615</v>
      </c>
      <c r="J242" s="61">
        <v>239658</v>
      </c>
      <c r="K242" s="61">
        <v>136118</v>
      </c>
      <c r="L242" s="61">
        <v>52844</v>
      </c>
      <c r="M242" s="61"/>
      <c r="N242" s="61"/>
      <c r="O242" s="61"/>
      <c r="P242" s="61"/>
      <c r="Q242" s="61"/>
      <c r="R242" s="61"/>
      <c r="S242" s="61"/>
      <c r="T242" s="61"/>
      <c r="U242" s="61"/>
      <c r="V242" s="61"/>
      <c r="W242" s="61"/>
    </row>
    <row r="243" spans="1:23" s="17" customFormat="1" ht="15">
      <c r="A243" s="152" t="s">
        <v>11</v>
      </c>
      <c r="B243" s="153"/>
      <c r="C243" s="154"/>
      <c r="D243" s="150"/>
      <c r="E243" s="162"/>
      <c r="F243" s="163"/>
      <c r="G243" s="174"/>
      <c r="H243" s="61">
        <f>SUM(H244:H245)</f>
        <v>12234201</v>
      </c>
      <c r="I243" s="61">
        <f t="shared" ref="I243:L243" si="88">SUM(I244:I245)</f>
        <v>34277</v>
      </c>
      <c r="J243" s="61">
        <f t="shared" si="88"/>
        <v>8696613</v>
      </c>
      <c r="K243" s="61">
        <f t="shared" si="88"/>
        <v>3000000</v>
      </c>
      <c r="L243" s="61">
        <f t="shared" si="88"/>
        <v>503311</v>
      </c>
      <c r="M243" s="61"/>
      <c r="N243" s="61"/>
      <c r="O243" s="61"/>
      <c r="P243" s="61"/>
      <c r="Q243" s="61"/>
      <c r="R243" s="61"/>
      <c r="S243" s="61"/>
      <c r="T243" s="61"/>
      <c r="U243" s="61"/>
      <c r="V243" s="61"/>
      <c r="W243" s="61"/>
    </row>
    <row r="244" spans="1:23" s="17" customFormat="1" ht="15">
      <c r="A244" s="85"/>
      <c r="B244" s="184" t="s">
        <v>23</v>
      </c>
      <c r="C244" s="185"/>
      <c r="D244" s="150"/>
      <c r="E244" s="162"/>
      <c r="F244" s="163"/>
      <c r="G244" s="174"/>
      <c r="H244" s="61">
        <v>12229059</v>
      </c>
      <c r="I244" s="61">
        <v>29135</v>
      </c>
      <c r="J244" s="61">
        <v>8696613</v>
      </c>
      <c r="K244" s="61">
        <v>3000000</v>
      </c>
      <c r="L244" s="61">
        <v>503311</v>
      </c>
      <c r="M244" s="61"/>
      <c r="N244" s="61"/>
      <c r="O244" s="61"/>
      <c r="P244" s="61"/>
      <c r="Q244" s="61"/>
      <c r="R244" s="61"/>
      <c r="S244" s="61"/>
      <c r="T244" s="61"/>
      <c r="U244" s="61"/>
      <c r="V244" s="61"/>
      <c r="W244" s="61"/>
    </row>
    <row r="245" spans="1:23" s="17" customFormat="1" ht="15">
      <c r="A245" s="85"/>
      <c r="B245" s="184" t="s">
        <v>25</v>
      </c>
      <c r="C245" s="185"/>
      <c r="D245" s="151"/>
      <c r="E245" s="164"/>
      <c r="F245" s="165"/>
      <c r="G245" s="175"/>
      <c r="H245" s="61">
        <v>5142</v>
      </c>
      <c r="I245" s="61">
        <v>5142</v>
      </c>
      <c r="J245" s="61"/>
      <c r="K245" s="61"/>
      <c r="L245" s="61"/>
      <c r="M245" s="61"/>
      <c r="N245" s="61"/>
      <c r="O245" s="61"/>
      <c r="P245" s="61"/>
      <c r="Q245" s="61"/>
      <c r="R245" s="61"/>
      <c r="S245" s="61"/>
      <c r="T245" s="61"/>
      <c r="U245" s="61"/>
      <c r="V245" s="61"/>
      <c r="W245" s="61"/>
    </row>
    <row r="246" spans="1:23" s="17" customFormat="1" ht="150">
      <c r="A246" s="69">
        <v>40</v>
      </c>
      <c r="B246" s="134" t="s">
        <v>22</v>
      </c>
      <c r="C246" s="135" t="s">
        <v>106</v>
      </c>
      <c r="D246" s="149" t="s">
        <v>15</v>
      </c>
      <c r="E246" s="172" t="s">
        <v>34</v>
      </c>
      <c r="F246" s="161"/>
      <c r="G246" s="173" t="s">
        <v>124</v>
      </c>
      <c r="H246" s="68">
        <f>SUM(H247,H250)</f>
        <v>10400000</v>
      </c>
      <c r="I246" s="68">
        <f t="shared" ref="I246:J246" si="89">SUM(I247,I250)</f>
        <v>3500000</v>
      </c>
      <c r="J246" s="68">
        <f t="shared" si="89"/>
        <v>3500000</v>
      </c>
      <c r="K246" s="68"/>
      <c r="L246" s="68"/>
      <c r="M246" s="68"/>
      <c r="N246" s="68"/>
      <c r="O246" s="68"/>
      <c r="P246" s="68"/>
      <c r="Q246" s="68"/>
      <c r="R246" s="68"/>
      <c r="S246" s="68"/>
      <c r="T246" s="68"/>
      <c r="U246" s="68"/>
      <c r="V246" s="68"/>
      <c r="W246" s="68">
        <f>4000000-500000</f>
        <v>3500000</v>
      </c>
    </row>
    <row r="247" spans="1:23" s="17" customFormat="1" ht="15">
      <c r="A247" s="152" t="s">
        <v>12</v>
      </c>
      <c r="B247" s="153"/>
      <c r="C247" s="154"/>
      <c r="D247" s="150"/>
      <c r="E247" s="162"/>
      <c r="F247" s="163"/>
      <c r="G247" s="174"/>
      <c r="H247" s="61">
        <f>SUM(H248:H249)</f>
        <v>10400000</v>
      </c>
      <c r="I247" s="61">
        <f t="shared" ref="I247:J247" si="90">SUM(I248:I249)</f>
        <v>3500000</v>
      </c>
      <c r="J247" s="61">
        <f t="shared" si="90"/>
        <v>3500000</v>
      </c>
      <c r="K247" s="61"/>
      <c r="L247" s="61"/>
      <c r="M247" s="61"/>
      <c r="N247" s="61"/>
      <c r="O247" s="61"/>
      <c r="P247" s="61"/>
      <c r="Q247" s="61"/>
      <c r="R247" s="61"/>
      <c r="S247" s="61"/>
      <c r="T247" s="61"/>
      <c r="U247" s="61"/>
      <c r="V247" s="61"/>
      <c r="W247" s="61"/>
    </row>
    <row r="248" spans="1:23" s="17" customFormat="1" ht="15">
      <c r="A248" s="85"/>
      <c r="B248" s="184" t="s">
        <v>23</v>
      </c>
      <c r="C248" s="185"/>
      <c r="D248" s="150"/>
      <c r="E248" s="162"/>
      <c r="F248" s="163"/>
      <c r="G248" s="174"/>
      <c r="H248" s="61">
        <v>8840000</v>
      </c>
      <c r="I248" s="61">
        <v>2975000</v>
      </c>
      <c r="J248" s="61">
        <v>2975000</v>
      </c>
      <c r="K248" s="61"/>
      <c r="L248" s="61"/>
      <c r="M248" s="61"/>
      <c r="N248" s="61"/>
      <c r="O248" s="61"/>
      <c r="P248" s="61"/>
      <c r="Q248" s="61"/>
      <c r="R248" s="61"/>
      <c r="S248" s="61"/>
      <c r="T248" s="61"/>
      <c r="U248" s="61"/>
      <c r="V248" s="61"/>
      <c r="W248" s="61"/>
    </row>
    <row r="249" spans="1:23" s="17" customFormat="1" ht="15">
      <c r="A249" s="85"/>
      <c r="B249" s="184" t="s">
        <v>24</v>
      </c>
      <c r="C249" s="185"/>
      <c r="D249" s="150"/>
      <c r="E249" s="162"/>
      <c r="F249" s="163"/>
      <c r="G249" s="174"/>
      <c r="H249" s="61">
        <v>1560000</v>
      </c>
      <c r="I249" s="61">
        <v>525000</v>
      </c>
      <c r="J249" s="61">
        <v>525000</v>
      </c>
      <c r="K249" s="61"/>
      <c r="L249" s="61"/>
      <c r="M249" s="61"/>
      <c r="N249" s="61"/>
      <c r="O249" s="61"/>
      <c r="P249" s="61"/>
      <c r="Q249" s="61"/>
      <c r="R249" s="61"/>
      <c r="S249" s="61"/>
      <c r="T249" s="61"/>
      <c r="U249" s="61"/>
      <c r="V249" s="61"/>
      <c r="W249" s="61"/>
    </row>
    <row r="250" spans="1:23" s="17" customFormat="1" ht="15">
      <c r="A250" s="152" t="s">
        <v>4</v>
      </c>
      <c r="B250" s="153"/>
      <c r="C250" s="154"/>
      <c r="D250" s="151"/>
      <c r="E250" s="164"/>
      <c r="F250" s="165"/>
      <c r="G250" s="175"/>
      <c r="H250" s="61"/>
      <c r="I250" s="61"/>
      <c r="J250" s="61"/>
      <c r="K250" s="61"/>
      <c r="L250" s="61"/>
      <c r="M250" s="61"/>
      <c r="N250" s="61"/>
      <c r="O250" s="61"/>
      <c r="P250" s="61"/>
      <c r="Q250" s="61"/>
      <c r="R250" s="61"/>
      <c r="S250" s="61"/>
      <c r="T250" s="61"/>
      <c r="U250" s="61"/>
      <c r="V250" s="61"/>
      <c r="W250" s="61"/>
    </row>
    <row r="251" spans="1:23" s="17" customFormat="1" ht="270">
      <c r="A251" s="69">
        <v>41</v>
      </c>
      <c r="B251" s="98" t="s">
        <v>295</v>
      </c>
      <c r="C251" s="114" t="s">
        <v>296</v>
      </c>
      <c r="D251" s="190" t="s">
        <v>145</v>
      </c>
      <c r="E251" s="160" t="s">
        <v>142</v>
      </c>
      <c r="F251" s="161"/>
      <c r="G251" s="269" t="s">
        <v>297</v>
      </c>
      <c r="H251" s="68">
        <f>SUM(H252,H255)</f>
        <v>5000000</v>
      </c>
      <c r="I251" s="68">
        <f t="shared" ref="I251:J251" si="91">SUM(I252,I255)</f>
        <v>100000</v>
      </c>
      <c r="J251" s="68">
        <f t="shared" si="91"/>
        <v>4900000</v>
      </c>
      <c r="K251" s="68"/>
      <c r="L251" s="68"/>
      <c r="M251" s="68"/>
      <c r="N251" s="68"/>
      <c r="O251" s="68"/>
      <c r="P251" s="68"/>
      <c r="Q251" s="68"/>
      <c r="R251" s="68"/>
      <c r="S251" s="68"/>
      <c r="T251" s="68"/>
      <c r="U251" s="68"/>
      <c r="V251" s="68"/>
      <c r="W251" s="68">
        <v>4900000</v>
      </c>
    </row>
    <row r="252" spans="1:23" s="17" customFormat="1" ht="15">
      <c r="A252" s="152" t="s">
        <v>12</v>
      </c>
      <c r="B252" s="153"/>
      <c r="C252" s="154"/>
      <c r="D252" s="150"/>
      <c r="E252" s="162"/>
      <c r="F252" s="163"/>
      <c r="G252" s="174"/>
      <c r="H252" s="61">
        <f>SUM(H253:H254)</f>
        <v>5000000</v>
      </c>
      <c r="I252" s="61">
        <f t="shared" ref="I252:J252" si="92">SUM(I253:I254)</f>
        <v>100000</v>
      </c>
      <c r="J252" s="61">
        <f t="shared" si="92"/>
        <v>4900000</v>
      </c>
      <c r="K252" s="61"/>
      <c r="L252" s="61"/>
      <c r="M252" s="61"/>
      <c r="N252" s="61"/>
      <c r="O252" s="61"/>
      <c r="P252" s="61"/>
      <c r="Q252" s="61"/>
      <c r="R252" s="61"/>
      <c r="S252" s="61"/>
      <c r="T252" s="61"/>
      <c r="U252" s="61"/>
      <c r="V252" s="61"/>
      <c r="W252" s="61"/>
    </row>
    <row r="253" spans="1:23" s="17" customFormat="1" ht="15">
      <c r="A253" s="85"/>
      <c r="B253" s="184" t="s">
        <v>23</v>
      </c>
      <c r="C253" s="185"/>
      <c r="D253" s="150"/>
      <c r="E253" s="162"/>
      <c r="F253" s="163"/>
      <c r="G253" s="174"/>
      <c r="H253" s="61">
        <v>4250000</v>
      </c>
      <c r="I253" s="61">
        <v>85000</v>
      </c>
      <c r="J253" s="61">
        <v>4165000</v>
      </c>
      <c r="K253" s="61"/>
      <c r="L253" s="61"/>
      <c r="M253" s="61"/>
      <c r="N253" s="61"/>
      <c r="O253" s="61"/>
      <c r="P253" s="61"/>
      <c r="Q253" s="61"/>
      <c r="R253" s="61"/>
      <c r="S253" s="61"/>
      <c r="T253" s="61"/>
      <c r="U253" s="61"/>
      <c r="V253" s="61"/>
      <c r="W253" s="61"/>
    </row>
    <row r="254" spans="1:23" s="17" customFormat="1" ht="15">
      <c r="A254" s="85"/>
      <c r="B254" s="184" t="s">
        <v>24</v>
      </c>
      <c r="C254" s="185"/>
      <c r="D254" s="150"/>
      <c r="E254" s="162"/>
      <c r="F254" s="163"/>
      <c r="G254" s="174"/>
      <c r="H254" s="61">
        <v>750000</v>
      </c>
      <c r="I254" s="61">
        <v>15000</v>
      </c>
      <c r="J254" s="61">
        <v>735000</v>
      </c>
      <c r="K254" s="61"/>
      <c r="L254" s="61"/>
      <c r="M254" s="61"/>
      <c r="N254" s="61"/>
      <c r="O254" s="61"/>
      <c r="P254" s="61"/>
      <c r="Q254" s="61"/>
      <c r="R254" s="61"/>
      <c r="S254" s="61"/>
      <c r="T254" s="61"/>
      <c r="U254" s="61"/>
      <c r="V254" s="61"/>
      <c r="W254" s="61"/>
    </row>
    <row r="255" spans="1:23" s="17" customFormat="1" ht="15">
      <c r="A255" s="152" t="s">
        <v>4</v>
      </c>
      <c r="B255" s="153"/>
      <c r="C255" s="154"/>
      <c r="D255" s="151"/>
      <c r="E255" s="164"/>
      <c r="F255" s="165"/>
      <c r="G255" s="175"/>
      <c r="H255" s="61"/>
      <c r="I255" s="61"/>
      <c r="J255" s="61"/>
      <c r="K255" s="61"/>
      <c r="L255" s="61"/>
      <c r="M255" s="61"/>
      <c r="N255" s="61"/>
      <c r="O255" s="61"/>
      <c r="P255" s="61"/>
      <c r="Q255" s="61"/>
      <c r="R255" s="61"/>
      <c r="S255" s="61"/>
      <c r="T255" s="61"/>
      <c r="U255" s="61"/>
      <c r="V255" s="61"/>
      <c r="W255" s="61"/>
    </row>
    <row r="256" spans="1:23" ht="15">
      <c r="A256" s="5"/>
      <c r="B256" s="15"/>
      <c r="C256" s="15"/>
      <c r="D256" s="5"/>
      <c r="E256" s="243"/>
      <c r="F256" s="244"/>
      <c r="G256" s="44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U256" s="57"/>
      <c r="V256" s="57"/>
      <c r="W256" s="57"/>
    </row>
    <row r="257" spans="1:25" s="34" customFormat="1" ht="15">
      <c r="A257" s="245" t="s">
        <v>6</v>
      </c>
      <c r="B257" s="246"/>
      <c r="C257" s="246"/>
      <c r="D257" s="246"/>
      <c r="E257" s="246"/>
      <c r="F257" s="246"/>
      <c r="G257" s="247"/>
      <c r="H257" s="64">
        <v>0</v>
      </c>
      <c r="I257" s="64">
        <f t="shared" ref="I257:V257" si="93">SUM(I258:I259)</f>
        <v>0</v>
      </c>
      <c r="J257" s="64">
        <f t="shared" si="93"/>
        <v>0</v>
      </c>
      <c r="K257" s="64">
        <f t="shared" si="93"/>
        <v>0</v>
      </c>
      <c r="L257" s="64">
        <f t="shared" si="93"/>
        <v>0</v>
      </c>
      <c r="M257" s="64">
        <f t="shared" si="93"/>
        <v>0</v>
      </c>
      <c r="N257" s="64">
        <f t="shared" si="93"/>
        <v>0</v>
      </c>
      <c r="O257" s="64">
        <f t="shared" si="93"/>
        <v>0</v>
      </c>
      <c r="P257" s="64">
        <f t="shared" si="93"/>
        <v>0</v>
      </c>
      <c r="Q257" s="64">
        <f t="shared" si="93"/>
        <v>0</v>
      </c>
      <c r="R257" s="64">
        <f t="shared" si="93"/>
        <v>0</v>
      </c>
      <c r="S257" s="64">
        <f t="shared" si="93"/>
        <v>0</v>
      </c>
      <c r="T257" s="64">
        <f t="shared" si="93"/>
        <v>0</v>
      </c>
      <c r="U257" s="64">
        <f t="shared" si="93"/>
        <v>0</v>
      </c>
      <c r="V257" s="64">
        <f t="shared" si="93"/>
        <v>0</v>
      </c>
      <c r="W257" s="64">
        <v>0</v>
      </c>
    </row>
    <row r="258" spans="1:25" s="34" customFormat="1" ht="15">
      <c r="A258" s="248" t="s">
        <v>3</v>
      </c>
      <c r="B258" s="249"/>
      <c r="C258" s="250"/>
      <c r="D258" s="33"/>
      <c r="E258" s="218"/>
      <c r="F258" s="219"/>
      <c r="G258" s="47"/>
      <c r="H258" s="64">
        <v>0</v>
      </c>
      <c r="I258" s="64">
        <v>0</v>
      </c>
      <c r="J258" s="64">
        <v>0</v>
      </c>
      <c r="K258" s="64">
        <v>0</v>
      </c>
      <c r="L258" s="64">
        <f t="shared" ref="L258:V258" si="94">SUM(L452)</f>
        <v>0</v>
      </c>
      <c r="M258" s="64">
        <f t="shared" si="94"/>
        <v>0</v>
      </c>
      <c r="N258" s="64">
        <f t="shared" si="94"/>
        <v>0</v>
      </c>
      <c r="O258" s="64">
        <f t="shared" si="94"/>
        <v>0</v>
      </c>
      <c r="P258" s="64">
        <f t="shared" si="94"/>
        <v>0</v>
      </c>
      <c r="Q258" s="64">
        <f t="shared" si="94"/>
        <v>0</v>
      </c>
      <c r="R258" s="64">
        <f t="shared" si="94"/>
        <v>0</v>
      </c>
      <c r="S258" s="64">
        <f t="shared" si="94"/>
        <v>0</v>
      </c>
      <c r="T258" s="64">
        <f t="shared" si="94"/>
        <v>0</v>
      </c>
      <c r="U258" s="64">
        <f t="shared" si="94"/>
        <v>0</v>
      </c>
      <c r="V258" s="64">
        <f t="shared" si="94"/>
        <v>0</v>
      </c>
      <c r="W258" s="64"/>
    </row>
    <row r="259" spans="1:25" s="34" customFormat="1" ht="15">
      <c r="A259" s="248" t="s">
        <v>4</v>
      </c>
      <c r="B259" s="249"/>
      <c r="C259" s="250"/>
      <c r="D259" s="33"/>
      <c r="E259" s="218"/>
      <c r="F259" s="219"/>
      <c r="G259" s="47"/>
      <c r="H259" s="64">
        <v>0</v>
      </c>
      <c r="I259" s="64">
        <f t="shared" ref="I259:V259" si="95">SUM(I454)</f>
        <v>0</v>
      </c>
      <c r="J259" s="64">
        <f t="shared" si="95"/>
        <v>0</v>
      </c>
      <c r="K259" s="64">
        <f t="shared" si="95"/>
        <v>0</v>
      </c>
      <c r="L259" s="64">
        <f t="shared" si="95"/>
        <v>0</v>
      </c>
      <c r="M259" s="64">
        <f t="shared" si="95"/>
        <v>0</v>
      </c>
      <c r="N259" s="64">
        <f t="shared" si="95"/>
        <v>0</v>
      </c>
      <c r="O259" s="64">
        <f t="shared" si="95"/>
        <v>0</v>
      </c>
      <c r="P259" s="64">
        <f t="shared" si="95"/>
        <v>0</v>
      </c>
      <c r="Q259" s="64">
        <f t="shared" si="95"/>
        <v>0</v>
      </c>
      <c r="R259" s="64">
        <f t="shared" si="95"/>
        <v>0</v>
      </c>
      <c r="S259" s="64">
        <f t="shared" si="95"/>
        <v>0</v>
      </c>
      <c r="T259" s="64">
        <f t="shared" si="95"/>
        <v>0</v>
      </c>
      <c r="U259" s="64">
        <f t="shared" si="95"/>
        <v>0</v>
      </c>
      <c r="V259" s="64">
        <f t="shared" si="95"/>
        <v>0</v>
      </c>
      <c r="W259" s="64"/>
    </row>
    <row r="260" spans="1:25" ht="15">
      <c r="A260" s="5"/>
      <c r="B260" s="15"/>
      <c r="C260" s="15"/>
      <c r="D260" s="5"/>
      <c r="E260" s="243"/>
      <c r="F260" s="244"/>
      <c r="G260" s="44"/>
      <c r="H260" s="57"/>
      <c r="I260" s="57"/>
      <c r="J260" s="57"/>
      <c r="K260" s="57"/>
      <c r="L260" s="57"/>
      <c r="M260" s="57"/>
      <c r="N260" s="57"/>
      <c r="O260" s="57"/>
      <c r="P260" s="57"/>
      <c r="Q260" s="2"/>
      <c r="R260" s="2"/>
      <c r="S260" s="2"/>
      <c r="T260" s="2"/>
      <c r="U260" s="2"/>
      <c r="V260" s="2"/>
      <c r="W260" s="2"/>
    </row>
    <row r="261" spans="1:25" s="34" customFormat="1" ht="15">
      <c r="A261" s="245" t="s">
        <v>7</v>
      </c>
      <c r="B261" s="246"/>
      <c r="C261" s="246"/>
      <c r="D261" s="246"/>
      <c r="E261" s="246"/>
      <c r="F261" s="246"/>
      <c r="G261" s="247"/>
      <c r="H261" s="64">
        <f>SUM(H262:H263)</f>
        <v>1012595235</v>
      </c>
      <c r="I261" s="64">
        <f>SUM(I262:I263)</f>
        <v>240141047</v>
      </c>
      <c r="J261" s="64">
        <f>SUM(J262:J263)</f>
        <v>236456168</v>
      </c>
      <c r="K261" s="64">
        <f t="shared" ref="K261:V261" si="96">SUM(K262:K263)</f>
        <v>121378572</v>
      </c>
      <c r="L261" s="64">
        <f t="shared" si="96"/>
        <v>64390144</v>
      </c>
      <c r="M261" s="64">
        <f t="shared" si="96"/>
        <v>19442175</v>
      </c>
      <c r="N261" s="64">
        <f t="shared" si="96"/>
        <v>17709543</v>
      </c>
      <c r="O261" s="64">
        <f t="shared" si="96"/>
        <v>16875491</v>
      </c>
      <c r="P261" s="64">
        <f t="shared" si="96"/>
        <v>1875491</v>
      </c>
      <c r="Q261" s="64">
        <f t="shared" si="96"/>
        <v>1875491</v>
      </c>
      <c r="R261" s="64">
        <f t="shared" si="96"/>
        <v>200000</v>
      </c>
      <c r="S261" s="64">
        <f t="shared" si="96"/>
        <v>200000</v>
      </c>
      <c r="T261" s="64">
        <f t="shared" si="96"/>
        <v>200000</v>
      </c>
      <c r="U261" s="64">
        <f t="shared" si="96"/>
        <v>200000</v>
      </c>
      <c r="V261" s="64">
        <f t="shared" si="96"/>
        <v>200000</v>
      </c>
      <c r="W261" s="38">
        <f>SUM(W264,W269,W289,W296,W303,W308,W313,W319,W342,W338,W350,W354,W359,W363,W367,W371,W375,W383,W388,W392,W396,W400,W404,W408,W412,W416,W421,W425,W429,W434,W439,W443,W273,W277,W285,W281,W324,W346,W379,W328,W333)</f>
        <v>195252334</v>
      </c>
      <c r="Y261" s="102"/>
    </row>
    <row r="262" spans="1:25" s="34" customFormat="1" ht="15">
      <c r="A262" s="248" t="s">
        <v>3</v>
      </c>
      <c r="B262" s="249"/>
      <c r="C262" s="250"/>
      <c r="D262" s="33"/>
      <c r="E262" s="218"/>
      <c r="F262" s="219"/>
      <c r="G262" s="47"/>
      <c r="H262" s="64">
        <f t="shared" ref="H262:V262" si="97">SUM(H265,H270,H290,H297,H304,H309,H314,H320,H339,H351,H355,H360,H364,H368,H372,H376,H384,H389,H397,H401,H405,H409,H417,H422,H426,H430,H444,H274,H440,H435,H343,H393,H413,H282,H286,H325,H347,H380,H329,H334)</f>
        <v>588832617</v>
      </c>
      <c r="I262" s="64">
        <f t="shared" si="97"/>
        <v>153461461</v>
      </c>
      <c r="J262" s="64">
        <f t="shared" si="97"/>
        <v>156143164</v>
      </c>
      <c r="K262" s="64">
        <f t="shared" si="97"/>
        <v>76606364</v>
      </c>
      <c r="L262" s="64">
        <f t="shared" si="97"/>
        <v>42280659</v>
      </c>
      <c r="M262" s="64">
        <f t="shared" si="97"/>
        <v>6442175</v>
      </c>
      <c r="N262" s="64">
        <f t="shared" si="97"/>
        <v>4709543</v>
      </c>
      <c r="O262" s="64">
        <f t="shared" si="97"/>
        <v>1875491</v>
      </c>
      <c r="P262" s="64">
        <f t="shared" si="97"/>
        <v>1875491</v>
      </c>
      <c r="Q262" s="64">
        <f t="shared" si="97"/>
        <v>1875491</v>
      </c>
      <c r="R262" s="64">
        <f t="shared" si="97"/>
        <v>200000</v>
      </c>
      <c r="S262" s="64">
        <f t="shared" si="97"/>
        <v>200000</v>
      </c>
      <c r="T262" s="64">
        <f t="shared" si="97"/>
        <v>200000</v>
      </c>
      <c r="U262" s="64">
        <f t="shared" si="97"/>
        <v>200000</v>
      </c>
      <c r="V262" s="64">
        <f t="shared" si="97"/>
        <v>200000</v>
      </c>
      <c r="W262" s="38"/>
    </row>
    <row r="263" spans="1:25" s="34" customFormat="1" ht="15">
      <c r="A263" s="248" t="s">
        <v>4</v>
      </c>
      <c r="B263" s="249"/>
      <c r="C263" s="250"/>
      <c r="D263" s="33"/>
      <c r="E263" s="218"/>
      <c r="F263" s="219"/>
      <c r="G263" s="47"/>
      <c r="H263" s="64">
        <f>SUM(H267,H272,H293,H300,H306,H311,H315,H323,H353,H356,H366,H369,H373,H378,H386,H391,H398,H403,H407,H410,H419,H424,H428,H433,H445,H362,H279,H287,H441,H438,H345,H395,H414,H283,H327,H382,)</f>
        <v>423762618</v>
      </c>
      <c r="I263" s="64">
        <f t="shared" ref="I263:V263" si="98">SUM(I267,I272,I293,I300,I306,I311,I315,I323,I353,I356,I366,I369,I373,I378,I386,I391,I398,I403,I407,I410,I419,I424,I428,I433,I445,I362,I279,I287,I441,I438,I345,I395,I414,I283,I327,I382,)</f>
        <v>86679586</v>
      </c>
      <c r="J263" s="64">
        <f t="shared" si="98"/>
        <v>80313004</v>
      </c>
      <c r="K263" s="64">
        <f t="shared" si="98"/>
        <v>44772208</v>
      </c>
      <c r="L263" s="64">
        <f t="shared" si="98"/>
        <v>22109485</v>
      </c>
      <c r="M263" s="64">
        <f t="shared" si="98"/>
        <v>13000000</v>
      </c>
      <c r="N263" s="64">
        <f t="shared" si="98"/>
        <v>13000000</v>
      </c>
      <c r="O263" s="64">
        <f t="shared" si="98"/>
        <v>15000000</v>
      </c>
      <c r="P263" s="64">
        <f t="shared" si="98"/>
        <v>0</v>
      </c>
      <c r="Q263" s="64">
        <f t="shared" si="98"/>
        <v>0</v>
      </c>
      <c r="R263" s="64">
        <f t="shared" si="98"/>
        <v>0</v>
      </c>
      <c r="S263" s="64">
        <f t="shared" si="98"/>
        <v>0</v>
      </c>
      <c r="T263" s="64">
        <f t="shared" si="98"/>
        <v>0</v>
      </c>
      <c r="U263" s="64">
        <f t="shared" si="98"/>
        <v>0</v>
      </c>
      <c r="V263" s="64">
        <f t="shared" si="98"/>
        <v>0</v>
      </c>
      <c r="W263" s="38"/>
      <c r="X263" s="102"/>
    </row>
    <row r="264" spans="1:25" s="55" customFormat="1" ht="166.5" customHeight="1">
      <c r="A264" s="58">
        <v>1</v>
      </c>
      <c r="B264" s="56" t="s">
        <v>232</v>
      </c>
      <c r="C264" s="62" t="s">
        <v>233</v>
      </c>
      <c r="D264" s="178" t="s">
        <v>229</v>
      </c>
      <c r="E264" s="212" t="s">
        <v>34</v>
      </c>
      <c r="F264" s="213"/>
      <c r="G264" s="178" t="s">
        <v>230</v>
      </c>
      <c r="H264" s="59">
        <f>SUM(H265,H267)</f>
        <v>1149764</v>
      </c>
      <c r="I264" s="59">
        <f>SUM(I265,I267)</f>
        <v>704000</v>
      </c>
      <c r="J264" s="59">
        <f>SUM(J265,J267)</f>
        <v>400000</v>
      </c>
      <c r="K264" s="59"/>
      <c r="L264" s="59"/>
      <c r="M264" s="59"/>
      <c r="N264" s="59"/>
      <c r="O264" s="9"/>
      <c r="P264" s="9"/>
      <c r="Q264" s="9"/>
      <c r="R264" s="9"/>
      <c r="S264" s="9"/>
      <c r="T264" s="9"/>
      <c r="U264" s="9"/>
      <c r="V264" s="9"/>
      <c r="W264" s="78">
        <v>400000</v>
      </c>
    </row>
    <row r="265" spans="1:25" s="55" customFormat="1" ht="15">
      <c r="A265" s="166" t="s">
        <v>12</v>
      </c>
      <c r="B265" s="167"/>
      <c r="C265" s="168"/>
      <c r="D265" s="170"/>
      <c r="E265" s="214"/>
      <c r="F265" s="215"/>
      <c r="G265" s="170"/>
      <c r="H265" s="57">
        <f>H266</f>
        <v>1051220</v>
      </c>
      <c r="I265" s="57">
        <f t="shared" ref="I265:J265" si="99">I266</f>
        <v>614000</v>
      </c>
      <c r="J265" s="57">
        <f t="shared" si="99"/>
        <v>400000</v>
      </c>
      <c r="K265" s="57"/>
      <c r="L265" s="57"/>
      <c r="M265" s="57"/>
      <c r="N265" s="57"/>
      <c r="O265" s="2"/>
      <c r="P265" s="2"/>
      <c r="Q265" s="2"/>
      <c r="R265" s="2"/>
      <c r="S265" s="2"/>
      <c r="T265" s="2"/>
      <c r="U265" s="2"/>
      <c r="V265" s="2"/>
      <c r="W265" s="2"/>
    </row>
    <row r="266" spans="1:25" s="55" customFormat="1" ht="15">
      <c r="A266" s="63"/>
      <c r="B266" s="197" t="s">
        <v>25</v>
      </c>
      <c r="C266" s="198"/>
      <c r="D266" s="170"/>
      <c r="E266" s="214"/>
      <c r="F266" s="215"/>
      <c r="G266" s="170"/>
      <c r="H266" s="57">
        <v>1051220</v>
      </c>
      <c r="I266" s="3">
        <v>614000</v>
      </c>
      <c r="J266" s="3">
        <v>400000</v>
      </c>
      <c r="K266" s="3"/>
      <c r="L266" s="3"/>
      <c r="M266" s="10"/>
      <c r="N266" s="57"/>
      <c r="O266" s="2"/>
      <c r="P266" s="2"/>
      <c r="Q266" s="2"/>
      <c r="R266" s="2"/>
      <c r="S266" s="2"/>
      <c r="T266" s="2"/>
      <c r="U266" s="2"/>
      <c r="V266" s="2"/>
      <c r="W266" s="2"/>
    </row>
    <row r="267" spans="1:25" s="55" customFormat="1" ht="15">
      <c r="A267" s="166" t="s">
        <v>11</v>
      </c>
      <c r="B267" s="167"/>
      <c r="C267" s="168"/>
      <c r="D267" s="170"/>
      <c r="E267" s="214"/>
      <c r="F267" s="215"/>
      <c r="G267" s="170"/>
      <c r="H267" s="57">
        <f>H268</f>
        <v>98544</v>
      </c>
      <c r="I267" s="57">
        <f t="shared" ref="I267" si="100">I268</f>
        <v>90000</v>
      </c>
      <c r="J267" s="57"/>
      <c r="K267" s="57"/>
      <c r="L267" s="57"/>
      <c r="M267" s="10"/>
      <c r="N267" s="57"/>
      <c r="O267" s="2"/>
      <c r="P267" s="2"/>
      <c r="Q267" s="2"/>
      <c r="R267" s="2"/>
      <c r="S267" s="2"/>
      <c r="T267" s="2"/>
      <c r="U267" s="2"/>
      <c r="V267" s="2"/>
      <c r="W267" s="2"/>
    </row>
    <row r="268" spans="1:25" s="55" customFormat="1" ht="15">
      <c r="A268" s="63"/>
      <c r="B268" s="197" t="s">
        <v>25</v>
      </c>
      <c r="C268" s="198"/>
      <c r="D268" s="171"/>
      <c r="E268" s="216"/>
      <c r="F268" s="217"/>
      <c r="G268" s="171"/>
      <c r="H268" s="57">
        <v>98544</v>
      </c>
      <c r="I268" s="3">
        <v>90000</v>
      </c>
      <c r="J268" s="3"/>
      <c r="K268" s="3"/>
      <c r="L268" s="3"/>
      <c r="M268" s="10"/>
      <c r="N268" s="57"/>
      <c r="O268" s="2"/>
      <c r="P268" s="2"/>
      <c r="Q268" s="2"/>
      <c r="R268" s="2"/>
      <c r="S268" s="2"/>
      <c r="T268" s="2"/>
      <c r="U268" s="2"/>
      <c r="V268" s="2"/>
      <c r="W268" s="2"/>
    </row>
    <row r="269" spans="1:25" s="17" customFormat="1" ht="75">
      <c r="A269" s="69">
        <v>2</v>
      </c>
      <c r="B269" s="136" t="s">
        <v>334</v>
      </c>
      <c r="C269" s="69" t="s">
        <v>140</v>
      </c>
      <c r="D269" s="149" t="s">
        <v>181</v>
      </c>
      <c r="E269" s="172" t="s">
        <v>32</v>
      </c>
      <c r="F269" s="161"/>
      <c r="G269" s="277" t="s">
        <v>112</v>
      </c>
      <c r="H269" s="91">
        <f>SUM(H270,H272)</f>
        <v>281021</v>
      </c>
      <c r="I269" s="91">
        <f t="shared" ref="I269:L269" si="101">SUM(I270,I272)</f>
        <v>37398</v>
      </c>
      <c r="J269" s="91">
        <f t="shared" si="101"/>
        <v>66950</v>
      </c>
      <c r="K269" s="91">
        <f t="shared" si="101"/>
        <v>68959</v>
      </c>
      <c r="L269" s="91">
        <f t="shared" si="101"/>
        <v>71028</v>
      </c>
      <c r="M269" s="61"/>
      <c r="N269" s="61"/>
      <c r="O269" s="61"/>
      <c r="P269" s="61"/>
      <c r="Q269" s="61"/>
      <c r="R269" s="61"/>
      <c r="S269" s="61"/>
      <c r="T269" s="61"/>
      <c r="U269" s="61"/>
      <c r="V269" s="61"/>
      <c r="W269" s="92">
        <v>206937</v>
      </c>
    </row>
    <row r="270" spans="1:25" s="17" customFormat="1" ht="15">
      <c r="A270" s="152" t="s">
        <v>12</v>
      </c>
      <c r="B270" s="153"/>
      <c r="C270" s="154"/>
      <c r="D270" s="150"/>
      <c r="E270" s="162"/>
      <c r="F270" s="163"/>
      <c r="G270" s="278"/>
      <c r="H270" s="115">
        <f>H271</f>
        <v>281021</v>
      </c>
      <c r="I270" s="115">
        <f t="shared" ref="I270:L270" si="102">I271</f>
        <v>37398</v>
      </c>
      <c r="J270" s="115">
        <f t="shared" si="102"/>
        <v>66950</v>
      </c>
      <c r="K270" s="115">
        <f t="shared" si="102"/>
        <v>68959</v>
      </c>
      <c r="L270" s="115">
        <f t="shared" si="102"/>
        <v>71028</v>
      </c>
      <c r="M270" s="61"/>
      <c r="N270" s="61"/>
      <c r="O270" s="61"/>
      <c r="P270" s="61"/>
      <c r="Q270" s="61"/>
      <c r="R270" s="61"/>
      <c r="S270" s="61"/>
      <c r="T270" s="61"/>
      <c r="U270" s="61"/>
      <c r="V270" s="61"/>
      <c r="W270" s="88"/>
    </row>
    <row r="271" spans="1:25" s="17" customFormat="1" ht="15">
      <c r="A271" s="129"/>
      <c r="B271" s="184" t="s">
        <v>25</v>
      </c>
      <c r="C271" s="185"/>
      <c r="D271" s="150"/>
      <c r="E271" s="162"/>
      <c r="F271" s="163"/>
      <c r="G271" s="278"/>
      <c r="H271" s="115">
        <v>281021</v>
      </c>
      <c r="I271" s="115">
        <v>37398</v>
      </c>
      <c r="J271" s="115">
        <v>66950</v>
      </c>
      <c r="K271" s="115">
        <v>68959</v>
      </c>
      <c r="L271" s="115">
        <v>71028</v>
      </c>
      <c r="M271" s="61"/>
      <c r="N271" s="61"/>
      <c r="O271" s="61"/>
      <c r="P271" s="61"/>
      <c r="Q271" s="61"/>
      <c r="R271" s="61"/>
      <c r="S271" s="61"/>
      <c r="T271" s="61"/>
      <c r="U271" s="61"/>
      <c r="V271" s="61"/>
      <c r="W271" s="88"/>
    </row>
    <row r="272" spans="1:25" s="17" customFormat="1" ht="15">
      <c r="A272" s="152" t="s">
        <v>4</v>
      </c>
      <c r="B272" s="153"/>
      <c r="C272" s="154"/>
      <c r="D272" s="151"/>
      <c r="E272" s="164"/>
      <c r="F272" s="165"/>
      <c r="G272" s="279"/>
      <c r="H272" s="61"/>
      <c r="I272" s="61"/>
      <c r="J272" s="61"/>
      <c r="K272" s="61"/>
      <c r="L272" s="61"/>
      <c r="M272" s="61"/>
      <c r="N272" s="61"/>
      <c r="O272" s="61"/>
      <c r="P272" s="61"/>
      <c r="Q272" s="61"/>
      <c r="R272" s="61"/>
      <c r="S272" s="61"/>
      <c r="T272" s="61"/>
      <c r="U272" s="61"/>
      <c r="V272" s="61"/>
      <c r="W272" s="88"/>
    </row>
    <row r="273" spans="1:23" s="17" customFormat="1" ht="60">
      <c r="A273" s="69">
        <v>3</v>
      </c>
      <c r="B273" s="86" t="s">
        <v>238</v>
      </c>
      <c r="C273" s="86" t="s">
        <v>239</v>
      </c>
      <c r="D273" s="149" t="s">
        <v>181</v>
      </c>
      <c r="E273" s="160" t="s">
        <v>142</v>
      </c>
      <c r="F273" s="161"/>
      <c r="G273" s="277" t="s">
        <v>112</v>
      </c>
      <c r="H273" s="91">
        <f>SUM(H274,H276)</f>
        <v>2068305</v>
      </c>
      <c r="I273" s="91">
        <f t="shared" ref="I273:J273" si="103">SUM(I274,I276)</f>
        <v>651345</v>
      </c>
      <c r="J273" s="91">
        <f t="shared" si="103"/>
        <v>1416960</v>
      </c>
      <c r="K273" s="91"/>
      <c r="L273" s="91"/>
      <c r="M273" s="61"/>
      <c r="N273" s="61"/>
      <c r="O273" s="61"/>
      <c r="P273" s="61"/>
      <c r="Q273" s="61"/>
      <c r="R273" s="61"/>
      <c r="S273" s="61"/>
      <c r="T273" s="61"/>
      <c r="U273" s="61"/>
      <c r="V273" s="61"/>
      <c r="W273" s="92">
        <f>2430000-1013040</f>
        <v>1416960</v>
      </c>
    </row>
    <row r="274" spans="1:23" s="17" customFormat="1" ht="15">
      <c r="A274" s="152" t="s">
        <v>12</v>
      </c>
      <c r="B274" s="153"/>
      <c r="C274" s="154"/>
      <c r="D274" s="150"/>
      <c r="E274" s="162"/>
      <c r="F274" s="163"/>
      <c r="G274" s="278"/>
      <c r="H274" s="115">
        <f>H275</f>
        <v>2068305</v>
      </c>
      <c r="I274" s="115">
        <f t="shared" ref="I274:J274" si="104">I275</f>
        <v>651345</v>
      </c>
      <c r="J274" s="115">
        <f t="shared" si="104"/>
        <v>1416960</v>
      </c>
      <c r="K274" s="115"/>
      <c r="L274" s="115"/>
      <c r="M274" s="61"/>
      <c r="N274" s="61"/>
      <c r="O274" s="61"/>
      <c r="P274" s="61"/>
      <c r="Q274" s="61"/>
      <c r="R274" s="61"/>
      <c r="S274" s="61"/>
      <c r="T274" s="61"/>
      <c r="U274" s="61"/>
      <c r="V274" s="61"/>
      <c r="W274" s="88"/>
    </row>
    <row r="275" spans="1:23" s="17" customFormat="1" ht="15">
      <c r="A275" s="105"/>
      <c r="B275" s="184" t="s">
        <v>24</v>
      </c>
      <c r="C275" s="185"/>
      <c r="D275" s="150"/>
      <c r="E275" s="162"/>
      <c r="F275" s="163"/>
      <c r="G275" s="278"/>
      <c r="H275" s="115">
        <v>2068305</v>
      </c>
      <c r="I275" s="115">
        <v>651345</v>
      </c>
      <c r="J275" s="115">
        <v>1416960</v>
      </c>
      <c r="K275" s="115"/>
      <c r="L275" s="115"/>
      <c r="M275" s="61"/>
      <c r="N275" s="61"/>
      <c r="O275" s="61"/>
      <c r="P275" s="61"/>
      <c r="Q275" s="61"/>
      <c r="R275" s="61"/>
      <c r="S275" s="61"/>
      <c r="T275" s="61"/>
      <c r="U275" s="61"/>
      <c r="V275" s="61"/>
      <c r="W275" s="88"/>
    </row>
    <row r="276" spans="1:23" s="17" customFormat="1" ht="15">
      <c r="A276" s="152" t="s">
        <v>4</v>
      </c>
      <c r="B276" s="153"/>
      <c r="C276" s="154"/>
      <c r="D276" s="151"/>
      <c r="E276" s="164"/>
      <c r="F276" s="165"/>
      <c r="G276" s="279"/>
      <c r="H276" s="61"/>
      <c r="I276" s="61"/>
      <c r="J276" s="61"/>
      <c r="K276" s="61"/>
      <c r="L276" s="61"/>
      <c r="M276" s="61"/>
      <c r="N276" s="61"/>
      <c r="O276" s="61"/>
      <c r="P276" s="61"/>
      <c r="Q276" s="61"/>
      <c r="R276" s="61"/>
      <c r="S276" s="61"/>
      <c r="T276" s="61"/>
      <c r="U276" s="61"/>
      <c r="V276" s="61"/>
      <c r="W276" s="88"/>
    </row>
    <row r="277" spans="1:23" s="17" customFormat="1" ht="150">
      <c r="A277" s="69">
        <v>4</v>
      </c>
      <c r="B277" s="116" t="s">
        <v>240</v>
      </c>
      <c r="C277" s="86" t="s">
        <v>140</v>
      </c>
      <c r="D277" s="149" t="s">
        <v>181</v>
      </c>
      <c r="E277" s="160" t="s">
        <v>29</v>
      </c>
      <c r="F277" s="192"/>
      <c r="G277" s="186" t="s">
        <v>244</v>
      </c>
      <c r="H277" s="91">
        <f>SUM(H278,H279)</f>
        <v>1720790</v>
      </c>
      <c r="I277" s="91">
        <f>SUM(I278,I279)</f>
        <v>1378131</v>
      </c>
      <c r="J277" s="91">
        <f>SUM(J278,J279)</f>
        <v>206455</v>
      </c>
      <c r="K277" s="91"/>
      <c r="L277" s="91"/>
      <c r="M277" s="61"/>
      <c r="N277" s="61"/>
      <c r="O277" s="61"/>
      <c r="P277" s="61"/>
      <c r="Q277" s="61"/>
      <c r="R277" s="61"/>
      <c r="S277" s="61"/>
      <c r="T277" s="61"/>
      <c r="U277" s="61"/>
      <c r="V277" s="61"/>
      <c r="W277" s="92">
        <v>206455</v>
      </c>
    </row>
    <row r="278" spans="1:23" s="17" customFormat="1" ht="15">
      <c r="A278" s="189" t="s">
        <v>3</v>
      </c>
      <c r="B278" s="153"/>
      <c r="C278" s="154"/>
      <c r="D278" s="150"/>
      <c r="E278" s="193"/>
      <c r="F278" s="194"/>
      <c r="G278" s="187"/>
      <c r="H278" s="115"/>
      <c r="I278" s="115"/>
      <c r="J278" s="115"/>
      <c r="K278" s="115"/>
      <c r="L278" s="115"/>
      <c r="M278" s="61"/>
      <c r="N278" s="61"/>
      <c r="O278" s="61"/>
      <c r="P278" s="61"/>
      <c r="Q278" s="61"/>
      <c r="R278" s="61"/>
      <c r="S278" s="61"/>
      <c r="T278" s="61"/>
      <c r="U278" s="61"/>
      <c r="V278" s="61"/>
      <c r="W278" s="88"/>
    </row>
    <row r="279" spans="1:23" s="17" customFormat="1" ht="15">
      <c r="A279" s="189" t="s">
        <v>11</v>
      </c>
      <c r="B279" s="153"/>
      <c r="C279" s="154"/>
      <c r="D279" s="150"/>
      <c r="E279" s="193"/>
      <c r="F279" s="194"/>
      <c r="G279" s="187"/>
      <c r="H279" s="61">
        <f>H280</f>
        <v>1720790</v>
      </c>
      <c r="I279" s="61">
        <f t="shared" ref="I279:J279" si="105">I280</f>
        <v>1378131</v>
      </c>
      <c r="J279" s="61">
        <f t="shared" si="105"/>
        <v>206455</v>
      </c>
      <c r="K279" s="61"/>
      <c r="L279" s="61"/>
      <c r="M279" s="61"/>
      <c r="N279" s="61"/>
      <c r="O279" s="61"/>
      <c r="P279" s="61"/>
      <c r="Q279" s="61"/>
      <c r="R279" s="61"/>
      <c r="S279" s="61"/>
      <c r="T279" s="61"/>
      <c r="U279" s="61"/>
      <c r="V279" s="61"/>
      <c r="W279" s="88"/>
    </row>
    <row r="280" spans="1:23" s="17" customFormat="1" ht="15">
      <c r="A280" s="105"/>
      <c r="B280" s="184" t="s">
        <v>24</v>
      </c>
      <c r="C280" s="185"/>
      <c r="D280" s="151"/>
      <c r="E280" s="195"/>
      <c r="F280" s="196"/>
      <c r="G280" s="188"/>
      <c r="H280" s="61">
        <v>1720790</v>
      </c>
      <c r="I280" s="61">
        <v>1378131</v>
      </c>
      <c r="J280" s="61">
        <v>206455</v>
      </c>
      <c r="K280" s="61"/>
      <c r="L280" s="61"/>
      <c r="M280" s="61"/>
      <c r="N280" s="61"/>
      <c r="O280" s="61"/>
      <c r="P280" s="61"/>
      <c r="Q280" s="61"/>
      <c r="R280" s="61"/>
      <c r="S280" s="61"/>
      <c r="T280" s="61"/>
      <c r="U280" s="61"/>
      <c r="V280" s="61"/>
      <c r="W280" s="88"/>
    </row>
    <row r="281" spans="1:23" s="17" customFormat="1" ht="135">
      <c r="A281" s="69">
        <v>5</v>
      </c>
      <c r="B281" s="86" t="s">
        <v>298</v>
      </c>
      <c r="C281" s="86" t="s">
        <v>299</v>
      </c>
      <c r="D281" s="149" t="s">
        <v>181</v>
      </c>
      <c r="E281" s="160" t="s">
        <v>39</v>
      </c>
      <c r="F281" s="192"/>
      <c r="G281" s="186" t="s">
        <v>300</v>
      </c>
      <c r="H281" s="91">
        <f>SUM(H282,H283)</f>
        <v>4608888</v>
      </c>
      <c r="I281" s="91">
        <f>SUM(I282,I283)</f>
        <v>1478328</v>
      </c>
      <c r="J281" s="91">
        <f>SUM(J282,J283)</f>
        <v>3000000</v>
      </c>
      <c r="K281" s="91"/>
      <c r="L281" s="91"/>
      <c r="M281" s="61"/>
      <c r="N281" s="61"/>
      <c r="O281" s="61"/>
      <c r="P281" s="61"/>
      <c r="Q281" s="61"/>
      <c r="R281" s="61"/>
      <c r="S281" s="61"/>
      <c r="T281" s="61"/>
      <c r="U281" s="61"/>
      <c r="V281" s="61"/>
      <c r="W281" s="92">
        <v>3000000</v>
      </c>
    </row>
    <row r="282" spans="1:23" s="17" customFormat="1" ht="15">
      <c r="A282" s="189" t="s">
        <v>3</v>
      </c>
      <c r="B282" s="153"/>
      <c r="C282" s="154"/>
      <c r="D282" s="150"/>
      <c r="E282" s="193"/>
      <c r="F282" s="194"/>
      <c r="G282" s="187"/>
      <c r="H282" s="115"/>
      <c r="I282" s="115"/>
      <c r="J282" s="115"/>
      <c r="K282" s="115"/>
      <c r="L282" s="115"/>
      <c r="M282" s="61"/>
      <c r="N282" s="61"/>
      <c r="O282" s="61"/>
      <c r="P282" s="61"/>
      <c r="Q282" s="61"/>
      <c r="R282" s="61"/>
      <c r="S282" s="61"/>
      <c r="T282" s="61"/>
      <c r="U282" s="61"/>
      <c r="V282" s="61"/>
      <c r="W282" s="88"/>
    </row>
    <row r="283" spans="1:23" s="17" customFormat="1" ht="15">
      <c r="A283" s="189" t="s">
        <v>11</v>
      </c>
      <c r="B283" s="153"/>
      <c r="C283" s="154"/>
      <c r="D283" s="150"/>
      <c r="E283" s="193"/>
      <c r="F283" s="194"/>
      <c r="G283" s="187"/>
      <c r="H283" s="61">
        <f>H284</f>
        <v>4608888</v>
      </c>
      <c r="I283" s="61">
        <f t="shared" ref="I283:J283" si="106">I284</f>
        <v>1478328</v>
      </c>
      <c r="J283" s="61">
        <f t="shared" si="106"/>
        <v>3000000</v>
      </c>
      <c r="K283" s="61"/>
      <c r="L283" s="61"/>
      <c r="M283" s="61"/>
      <c r="N283" s="61"/>
      <c r="O283" s="61"/>
      <c r="P283" s="61"/>
      <c r="Q283" s="61"/>
      <c r="R283" s="61"/>
      <c r="S283" s="61"/>
      <c r="T283" s="61"/>
      <c r="U283" s="61"/>
      <c r="V283" s="61"/>
      <c r="W283" s="88"/>
    </row>
    <row r="284" spans="1:23" s="17" customFormat="1" ht="15">
      <c r="A284" s="105"/>
      <c r="B284" s="184" t="s">
        <v>24</v>
      </c>
      <c r="C284" s="185"/>
      <c r="D284" s="151"/>
      <c r="E284" s="195"/>
      <c r="F284" s="196"/>
      <c r="G284" s="188"/>
      <c r="H284" s="61">
        <v>4608888</v>
      </c>
      <c r="I284" s="61">
        <v>1478328</v>
      </c>
      <c r="J284" s="61">
        <v>3000000</v>
      </c>
      <c r="K284" s="61"/>
      <c r="L284" s="61"/>
      <c r="M284" s="61"/>
      <c r="N284" s="61"/>
      <c r="O284" s="61"/>
      <c r="P284" s="61"/>
      <c r="Q284" s="61"/>
      <c r="R284" s="61"/>
      <c r="S284" s="61"/>
      <c r="T284" s="61"/>
      <c r="U284" s="61"/>
      <c r="V284" s="61"/>
      <c r="W284" s="88"/>
    </row>
    <row r="285" spans="1:23" s="17" customFormat="1" ht="120">
      <c r="A285" s="69">
        <v>6</v>
      </c>
      <c r="B285" s="116" t="s">
        <v>241</v>
      </c>
      <c r="C285" s="86" t="s">
        <v>242</v>
      </c>
      <c r="D285" s="149" t="s">
        <v>181</v>
      </c>
      <c r="E285" s="160" t="s">
        <v>246</v>
      </c>
      <c r="F285" s="192"/>
      <c r="G285" s="186" t="s">
        <v>243</v>
      </c>
      <c r="H285" s="91">
        <f>SUM(H286,H287)</f>
        <v>17331713</v>
      </c>
      <c r="I285" s="91">
        <f>SUM(I286,I287)</f>
        <v>4185464</v>
      </c>
      <c r="J285" s="91">
        <f>SUM(J286,J287)</f>
        <v>4793000</v>
      </c>
      <c r="K285" s="91"/>
      <c r="L285" s="91"/>
      <c r="M285" s="61"/>
      <c r="N285" s="61"/>
      <c r="O285" s="61"/>
      <c r="P285" s="61"/>
      <c r="Q285" s="61"/>
      <c r="R285" s="61"/>
      <c r="S285" s="61"/>
      <c r="T285" s="61"/>
      <c r="U285" s="61"/>
      <c r="V285" s="61"/>
      <c r="W285" s="92">
        <f>2793545+1016455+983000</f>
        <v>4793000</v>
      </c>
    </row>
    <row r="286" spans="1:23" s="17" customFormat="1" ht="15">
      <c r="A286" s="189" t="s">
        <v>3</v>
      </c>
      <c r="B286" s="153"/>
      <c r="C286" s="154"/>
      <c r="D286" s="150"/>
      <c r="E286" s="193"/>
      <c r="F286" s="194"/>
      <c r="G286" s="187"/>
      <c r="H286" s="115"/>
      <c r="I286" s="115"/>
      <c r="J286" s="115"/>
      <c r="K286" s="115"/>
      <c r="L286" s="115"/>
      <c r="M286" s="61"/>
      <c r="N286" s="61"/>
      <c r="O286" s="61"/>
      <c r="P286" s="61"/>
      <c r="Q286" s="61"/>
      <c r="R286" s="61"/>
      <c r="S286" s="61"/>
      <c r="T286" s="61"/>
      <c r="U286" s="61"/>
      <c r="V286" s="61"/>
      <c r="W286" s="88"/>
    </row>
    <row r="287" spans="1:23" s="17" customFormat="1" ht="15">
      <c r="A287" s="189" t="s">
        <v>11</v>
      </c>
      <c r="B287" s="153"/>
      <c r="C287" s="154"/>
      <c r="D287" s="150"/>
      <c r="E287" s="193"/>
      <c r="F287" s="194"/>
      <c r="G287" s="187"/>
      <c r="H287" s="61">
        <f>H288</f>
        <v>17331713</v>
      </c>
      <c r="I287" s="61">
        <f t="shared" ref="I287" si="107">I288</f>
        <v>4185464</v>
      </c>
      <c r="J287" s="61">
        <f t="shared" ref="J287" si="108">J288</f>
        <v>4793000</v>
      </c>
      <c r="K287" s="61"/>
      <c r="L287" s="61"/>
      <c r="M287" s="61"/>
      <c r="N287" s="61"/>
      <c r="O287" s="61"/>
      <c r="P287" s="61"/>
      <c r="Q287" s="61"/>
      <c r="R287" s="61"/>
      <c r="S287" s="61"/>
      <c r="T287" s="61"/>
      <c r="U287" s="61"/>
      <c r="V287" s="61"/>
      <c r="W287" s="88"/>
    </row>
    <row r="288" spans="1:23" s="17" customFormat="1" ht="15">
      <c r="A288" s="126"/>
      <c r="B288" s="184" t="s">
        <v>24</v>
      </c>
      <c r="C288" s="185"/>
      <c r="D288" s="151"/>
      <c r="E288" s="195"/>
      <c r="F288" s="196"/>
      <c r="G288" s="188"/>
      <c r="H288" s="61">
        <v>17331713</v>
      </c>
      <c r="I288" s="61">
        <v>4185464</v>
      </c>
      <c r="J288" s="61">
        <v>4793000</v>
      </c>
      <c r="K288" s="61"/>
      <c r="L288" s="61"/>
      <c r="M288" s="61"/>
      <c r="N288" s="61"/>
      <c r="O288" s="61"/>
      <c r="P288" s="61"/>
      <c r="Q288" s="61"/>
      <c r="R288" s="61"/>
      <c r="S288" s="61"/>
      <c r="T288" s="61"/>
      <c r="U288" s="61"/>
      <c r="V288" s="61"/>
      <c r="W288" s="88"/>
    </row>
    <row r="289" spans="1:23" s="17" customFormat="1" ht="328.5" customHeight="1">
      <c r="A289" s="137">
        <v>7</v>
      </c>
      <c r="B289" s="69" t="s">
        <v>45</v>
      </c>
      <c r="C289" s="138" t="s">
        <v>44</v>
      </c>
      <c r="D289" s="149" t="s">
        <v>145</v>
      </c>
      <c r="E289" s="172" t="s">
        <v>37</v>
      </c>
      <c r="F289" s="161"/>
      <c r="G289" s="149" t="s">
        <v>125</v>
      </c>
      <c r="H289" s="91">
        <f>SUM(H290,H293)</f>
        <v>36767900</v>
      </c>
      <c r="I289" s="91">
        <f t="shared" ref="I289:L289" si="109">SUM(I290,I293)</f>
        <v>5520000</v>
      </c>
      <c r="J289" s="91">
        <f t="shared" si="109"/>
        <v>5950000</v>
      </c>
      <c r="K289" s="91">
        <f t="shared" si="109"/>
        <v>5754000</v>
      </c>
      <c r="L289" s="91">
        <f t="shared" si="109"/>
        <v>5754000</v>
      </c>
      <c r="M289" s="91"/>
      <c r="N289" s="91"/>
      <c r="O289" s="91"/>
      <c r="P289" s="91"/>
      <c r="Q289" s="139"/>
      <c r="R289" s="139"/>
      <c r="S289" s="139"/>
      <c r="T289" s="139"/>
      <c r="U289" s="139"/>
      <c r="V289" s="139"/>
      <c r="W289" s="92">
        <v>0</v>
      </c>
    </row>
    <row r="290" spans="1:23" s="17" customFormat="1" ht="15">
      <c r="A290" s="152" t="s">
        <v>12</v>
      </c>
      <c r="B290" s="153"/>
      <c r="C290" s="154"/>
      <c r="D290" s="150"/>
      <c r="E290" s="162"/>
      <c r="F290" s="163"/>
      <c r="G290" s="150"/>
      <c r="H290" s="61">
        <f>SUM(H291:H292)</f>
        <v>36442500</v>
      </c>
      <c r="I290" s="61">
        <f t="shared" ref="I290:L290" si="110">SUM(I291:I292)</f>
        <v>5430000</v>
      </c>
      <c r="J290" s="61">
        <f t="shared" si="110"/>
        <v>5931000</v>
      </c>
      <c r="K290" s="61">
        <f t="shared" si="110"/>
        <v>5739000</v>
      </c>
      <c r="L290" s="61">
        <f t="shared" si="110"/>
        <v>5739000</v>
      </c>
      <c r="M290" s="61"/>
      <c r="N290" s="61"/>
      <c r="O290" s="61"/>
      <c r="P290" s="61"/>
      <c r="Q290" s="88"/>
      <c r="R290" s="88"/>
      <c r="S290" s="88"/>
      <c r="T290" s="88"/>
      <c r="U290" s="88"/>
      <c r="V290" s="88"/>
      <c r="W290" s="88"/>
    </row>
    <row r="291" spans="1:23" s="17" customFormat="1" ht="15">
      <c r="A291" s="85"/>
      <c r="B291" s="184" t="s">
        <v>25</v>
      </c>
      <c r="C291" s="185"/>
      <c r="D291" s="150"/>
      <c r="E291" s="162"/>
      <c r="F291" s="163"/>
      <c r="G291" s="150"/>
      <c r="H291" s="61">
        <v>4116460</v>
      </c>
      <c r="I291" s="61">
        <v>287000</v>
      </c>
      <c r="J291" s="61">
        <v>390000</v>
      </c>
      <c r="K291" s="61">
        <f>1290000-865000</f>
        <v>425000</v>
      </c>
      <c r="L291" s="61">
        <f>5739000-3159000</f>
        <v>2580000</v>
      </c>
      <c r="M291" s="61"/>
      <c r="N291" s="61"/>
      <c r="O291" s="61"/>
      <c r="P291" s="61"/>
      <c r="Q291" s="88"/>
      <c r="R291" s="88"/>
      <c r="S291" s="88"/>
      <c r="T291" s="88"/>
      <c r="U291" s="88"/>
      <c r="V291" s="88"/>
      <c r="W291" s="88"/>
    </row>
    <row r="292" spans="1:23" s="17" customFormat="1" ht="15">
      <c r="A292" s="85"/>
      <c r="B292" s="184" t="s">
        <v>24</v>
      </c>
      <c r="C292" s="185"/>
      <c r="D292" s="150"/>
      <c r="E292" s="162"/>
      <c r="F292" s="163"/>
      <c r="G292" s="150"/>
      <c r="H292" s="61">
        <v>32326040</v>
      </c>
      <c r="I292" s="61">
        <v>5143000</v>
      </c>
      <c r="J292" s="61">
        <v>5541000</v>
      </c>
      <c r="K292" s="61">
        <f>4449000+865000</f>
        <v>5314000</v>
      </c>
      <c r="L292" s="61">
        <v>3159000</v>
      </c>
      <c r="M292" s="61"/>
      <c r="N292" s="61"/>
      <c r="O292" s="61"/>
      <c r="P292" s="61"/>
      <c r="Q292" s="88"/>
      <c r="R292" s="88"/>
      <c r="S292" s="88"/>
      <c r="T292" s="88"/>
      <c r="U292" s="88"/>
      <c r="V292" s="88"/>
      <c r="W292" s="88"/>
    </row>
    <row r="293" spans="1:23" s="17" customFormat="1" ht="15">
      <c r="A293" s="152" t="s">
        <v>11</v>
      </c>
      <c r="B293" s="153"/>
      <c r="C293" s="154"/>
      <c r="D293" s="150"/>
      <c r="E293" s="162"/>
      <c r="F293" s="163"/>
      <c r="G293" s="150"/>
      <c r="H293" s="61">
        <f>SUM(H294:H295)</f>
        <v>325400</v>
      </c>
      <c r="I293" s="61">
        <f t="shared" ref="I293:L293" si="111">SUM(I294:I295)</f>
        <v>90000</v>
      </c>
      <c r="J293" s="61">
        <f t="shared" si="111"/>
        <v>19000</v>
      </c>
      <c r="K293" s="61">
        <f t="shared" si="111"/>
        <v>15000</v>
      </c>
      <c r="L293" s="61">
        <f t="shared" si="111"/>
        <v>15000</v>
      </c>
      <c r="M293" s="61"/>
      <c r="N293" s="61"/>
      <c r="O293" s="61"/>
      <c r="P293" s="61"/>
      <c r="Q293" s="88"/>
      <c r="R293" s="88"/>
      <c r="S293" s="88"/>
      <c r="T293" s="88"/>
      <c r="U293" s="88"/>
      <c r="V293" s="88"/>
      <c r="W293" s="88"/>
    </row>
    <row r="294" spans="1:23" s="17" customFormat="1" ht="15">
      <c r="A294" s="85"/>
      <c r="B294" s="184" t="s">
        <v>25</v>
      </c>
      <c r="C294" s="185"/>
      <c r="D294" s="150"/>
      <c r="E294" s="162"/>
      <c r="F294" s="163"/>
      <c r="G294" s="150"/>
      <c r="H294" s="61">
        <v>67890</v>
      </c>
      <c r="I294" s="61">
        <v>30000</v>
      </c>
      <c r="J294" s="61">
        <v>4000</v>
      </c>
      <c r="K294" s="61">
        <v>3000</v>
      </c>
      <c r="L294" s="61">
        <f>15000-12000</f>
        <v>3000</v>
      </c>
      <c r="M294" s="61"/>
      <c r="N294" s="61"/>
      <c r="O294" s="61"/>
      <c r="P294" s="61"/>
      <c r="Q294" s="88"/>
      <c r="R294" s="88"/>
      <c r="S294" s="88"/>
      <c r="T294" s="88"/>
      <c r="U294" s="88"/>
      <c r="V294" s="88"/>
      <c r="W294" s="88"/>
    </row>
    <row r="295" spans="1:23" s="17" customFormat="1" ht="15">
      <c r="A295" s="85"/>
      <c r="B295" s="184" t="s">
        <v>24</v>
      </c>
      <c r="C295" s="185"/>
      <c r="D295" s="151"/>
      <c r="E295" s="164"/>
      <c r="F295" s="165"/>
      <c r="G295" s="151"/>
      <c r="H295" s="61">
        <v>257510</v>
      </c>
      <c r="I295" s="61">
        <v>60000</v>
      </c>
      <c r="J295" s="61">
        <v>15000</v>
      </c>
      <c r="K295" s="61">
        <v>12000</v>
      </c>
      <c r="L295" s="61">
        <v>12000</v>
      </c>
      <c r="M295" s="61"/>
      <c r="N295" s="61"/>
      <c r="O295" s="61"/>
      <c r="P295" s="61"/>
      <c r="Q295" s="88"/>
      <c r="R295" s="88"/>
      <c r="S295" s="88"/>
      <c r="T295" s="88"/>
      <c r="U295" s="88"/>
      <c r="V295" s="88"/>
      <c r="W295" s="88"/>
    </row>
    <row r="296" spans="1:23" s="17" customFormat="1" ht="343.5" customHeight="1">
      <c r="A296" s="69">
        <v>8</v>
      </c>
      <c r="B296" s="69" t="s">
        <v>47</v>
      </c>
      <c r="C296" s="138" t="s">
        <v>46</v>
      </c>
      <c r="D296" s="149" t="s">
        <v>145</v>
      </c>
      <c r="E296" s="172" t="s">
        <v>38</v>
      </c>
      <c r="F296" s="161"/>
      <c r="G296" s="149" t="s">
        <v>126</v>
      </c>
      <c r="H296" s="68">
        <f>SUM(H297,H300)</f>
        <v>2769774</v>
      </c>
      <c r="I296" s="68">
        <f t="shared" ref="I296:L296" si="112">SUM(I297,I300)</f>
        <v>504579</v>
      </c>
      <c r="J296" s="68">
        <f t="shared" si="112"/>
        <v>614000</v>
      </c>
      <c r="K296" s="68">
        <f t="shared" si="112"/>
        <v>685000</v>
      </c>
      <c r="L296" s="68">
        <f t="shared" si="112"/>
        <v>360000</v>
      </c>
      <c r="M296" s="68"/>
      <c r="N296" s="68"/>
      <c r="O296" s="68"/>
      <c r="P296" s="68"/>
      <c r="Q296" s="93"/>
      <c r="R296" s="93"/>
      <c r="S296" s="93"/>
      <c r="T296" s="93"/>
      <c r="U296" s="93"/>
      <c r="V296" s="93"/>
      <c r="W296" s="79">
        <v>0</v>
      </c>
    </row>
    <row r="297" spans="1:23" s="17" customFormat="1" ht="15">
      <c r="A297" s="152" t="s">
        <v>12</v>
      </c>
      <c r="B297" s="153"/>
      <c r="C297" s="154"/>
      <c r="D297" s="150"/>
      <c r="E297" s="162"/>
      <c r="F297" s="163"/>
      <c r="G297" s="150"/>
      <c r="H297" s="61">
        <f>SUM(H298:H299)</f>
        <v>2704474</v>
      </c>
      <c r="I297" s="61">
        <f t="shared" ref="I297:L297" si="113">SUM(I298:I299)</f>
        <v>492279</v>
      </c>
      <c r="J297" s="61">
        <f t="shared" si="113"/>
        <v>602000</v>
      </c>
      <c r="K297" s="61">
        <f t="shared" si="113"/>
        <v>670000</v>
      </c>
      <c r="L297" s="61">
        <f t="shared" si="113"/>
        <v>350000</v>
      </c>
      <c r="M297" s="61"/>
      <c r="N297" s="61"/>
      <c r="O297" s="61"/>
      <c r="P297" s="61"/>
      <c r="Q297" s="88"/>
      <c r="R297" s="88"/>
      <c r="S297" s="88"/>
      <c r="T297" s="88"/>
      <c r="U297" s="88"/>
      <c r="V297" s="88"/>
      <c r="W297" s="88"/>
    </row>
    <row r="298" spans="1:23" s="17" customFormat="1" ht="15">
      <c r="A298" s="85"/>
      <c r="B298" s="184" t="s">
        <v>25</v>
      </c>
      <c r="C298" s="185"/>
      <c r="D298" s="150"/>
      <c r="E298" s="162"/>
      <c r="F298" s="163"/>
      <c r="G298" s="150"/>
      <c r="H298" s="61">
        <v>6903</v>
      </c>
      <c r="I298" s="61">
        <v>6279</v>
      </c>
      <c r="J298" s="61"/>
      <c r="K298" s="61"/>
      <c r="L298" s="61"/>
      <c r="M298" s="95"/>
      <c r="N298" s="61"/>
      <c r="O298" s="61"/>
      <c r="P298" s="61"/>
      <c r="Q298" s="88"/>
      <c r="R298" s="88"/>
      <c r="S298" s="88"/>
      <c r="T298" s="88"/>
      <c r="U298" s="88"/>
      <c r="V298" s="88"/>
      <c r="W298" s="88"/>
    </row>
    <row r="299" spans="1:23" s="17" customFormat="1" ht="15">
      <c r="A299" s="85"/>
      <c r="B299" s="184" t="s">
        <v>24</v>
      </c>
      <c r="C299" s="185"/>
      <c r="D299" s="150"/>
      <c r="E299" s="162"/>
      <c r="F299" s="163"/>
      <c r="G299" s="150"/>
      <c r="H299" s="61">
        <v>2697571</v>
      </c>
      <c r="I299" s="94">
        <v>486000</v>
      </c>
      <c r="J299" s="94">
        <v>602000</v>
      </c>
      <c r="K299" s="94">
        <v>670000</v>
      </c>
      <c r="L299" s="94">
        <v>350000</v>
      </c>
      <c r="M299" s="95"/>
      <c r="N299" s="61"/>
      <c r="O299" s="61"/>
      <c r="P299" s="61"/>
      <c r="Q299" s="88"/>
      <c r="R299" s="88"/>
      <c r="S299" s="88"/>
      <c r="T299" s="88"/>
      <c r="U299" s="88"/>
      <c r="V299" s="88"/>
      <c r="W299" s="88"/>
    </row>
    <row r="300" spans="1:23" s="17" customFormat="1" ht="15">
      <c r="A300" s="152" t="s">
        <v>11</v>
      </c>
      <c r="B300" s="153"/>
      <c r="C300" s="154"/>
      <c r="D300" s="150"/>
      <c r="E300" s="162"/>
      <c r="F300" s="163"/>
      <c r="G300" s="150"/>
      <c r="H300" s="61">
        <f>SUM(H301:H302)</f>
        <v>65300</v>
      </c>
      <c r="I300" s="61">
        <f t="shared" ref="I300:L300" si="114">SUM(I301:I302)</f>
        <v>12300</v>
      </c>
      <c r="J300" s="61">
        <f t="shared" si="114"/>
        <v>12000</v>
      </c>
      <c r="K300" s="61">
        <f t="shared" si="114"/>
        <v>15000</v>
      </c>
      <c r="L300" s="61">
        <f t="shared" si="114"/>
        <v>10000</v>
      </c>
      <c r="M300" s="88"/>
      <c r="N300" s="88"/>
      <c r="O300" s="88"/>
      <c r="P300" s="88"/>
      <c r="Q300" s="88"/>
      <c r="R300" s="88"/>
      <c r="S300" s="88"/>
      <c r="T300" s="88"/>
      <c r="U300" s="88"/>
      <c r="V300" s="88"/>
      <c r="W300" s="88"/>
    </row>
    <row r="301" spans="1:23" s="17" customFormat="1" ht="15">
      <c r="A301" s="85"/>
      <c r="B301" s="184" t="s">
        <v>25</v>
      </c>
      <c r="C301" s="185"/>
      <c r="D301" s="150"/>
      <c r="E301" s="162"/>
      <c r="F301" s="163"/>
      <c r="G301" s="150"/>
      <c r="H301" s="61">
        <v>2300</v>
      </c>
      <c r="I301" s="61">
        <v>2300</v>
      </c>
      <c r="J301" s="61"/>
      <c r="K301" s="61"/>
      <c r="L301" s="61"/>
      <c r="M301" s="140"/>
      <c r="N301" s="88"/>
      <c r="O301" s="88"/>
      <c r="P301" s="88"/>
      <c r="Q301" s="88"/>
      <c r="R301" s="88"/>
      <c r="S301" s="88"/>
      <c r="T301" s="88"/>
      <c r="U301" s="88"/>
      <c r="V301" s="88"/>
      <c r="W301" s="88"/>
    </row>
    <row r="302" spans="1:23" s="17" customFormat="1" ht="15">
      <c r="A302" s="141"/>
      <c r="B302" s="184" t="s">
        <v>24</v>
      </c>
      <c r="C302" s="185"/>
      <c r="D302" s="151"/>
      <c r="E302" s="164"/>
      <c r="F302" s="165"/>
      <c r="G302" s="151"/>
      <c r="H302" s="61">
        <v>63000</v>
      </c>
      <c r="I302" s="94">
        <v>10000</v>
      </c>
      <c r="J302" s="94">
        <v>12000</v>
      </c>
      <c r="K302" s="94">
        <v>15000</v>
      </c>
      <c r="L302" s="94">
        <v>10000</v>
      </c>
      <c r="M302" s="140"/>
      <c r="N302" s="88"/>
      <c r="O302" s="88"/>
      <c r="P302" s="88"/>
      <c r="Q302" s="88"/>
      <c r="R302" s="88"/>
      <c r="S302" s="88"/>
      <c r="T302" s="88"/>
      <c r="U302" s="88"/>
      <c r="V302" s="88"/>
      <c r="W302" s="88"/>
    </row>
    <row r="303" spans="1:23" s="17" customFormat="1" ht="99" customHeight="1">
      <c r="A303" s="69">
        <v>9</v>
      </c>
      <c r="B303" s="77" t="s">
        <v>254</v>
      </c>
      <c r="C303" s="90" t="s">
        <v>50</v>
      </c>
      <c r="D303" s="149" t="s">
        <v>13</v>
      </c>
      <c r="E303" s="172" t="s">
        <v>36</v>
      </c>
      <c r="F303" s="161"/>
      <c r="G303" s="173" t="s">
        <v>184</v>
      </c>
      <c r="H303" s="68">
        <f>SUM(H304,H306)</f>
        <v>104462748</v>
      </c>
      <c r="I303" s="68">
        <f>SUM(I304,I306)</f>
        <v>31234867</v>
      </c>
      <c r="J303" s="68">
        <f>SUM(J304,J306)</f>
        <v>24733684</v>
      </c>
      <c r="K303" s="68">
        <f>SUM(K304,K306)</f>
        <v>20269243</v>
      </c>
      <c r="L303" s="68"/>
      <c r="M303" s="68"/>
      <c r="N303" s="68"/>
      <c r="O303" s="68"/>
      <c r="P303" s="68"/>
      <c r="Q303" s="68"/>
      <c r="R303" s="68"/>
      <c r="S303" s="68"/>
      <c r="T303" s="68"/>
      <c r="U303" s="68"/>
      <c r="V303" s="68"/>
      <c r="W303" s="68">
        <v>0</v>
      </c>
    </row>
    <row r="304" spans="1:23" s="17" customFormat="1" ht="15">
      <c r="A304" s="157" t="s">
        <v>12</v>
      </c>
      <c r="B304" s="158"/>
      <c r="C304" s="159"/>
      <c r="D304" s="150"/>
      <c r="E304" s="162"/>
      <c r="F304" s="163"/>
      <c r="G304" s="174"/>
      <c r="H304" s="61">
        <f>H305</f>
        <v>104208879</v>
      </c>
      <c r="I304" s="61">
        <f>SUM(I305:I305)</f>
        <v>31072190</v>
      </c>
      <c r="J304" s="61">
        <f>SUM(J305:J305)</f>
        <v>24664184</v>
      </c>
      <c r="K304" s="61">
        <f>SUM(K305:K305)</f>
        <v>20269243</v>
      </c>
      <c r="L304" s="61"/>
      <c r="M304" s="61"/>
      <c r="N304" s="61"/>
      <c r="O304" s="61"/>
      <c r="P304" s="61"/>
      <c r="Q304" s="61"/>
      <c r="R304" s="61"/>
      <c r="S304" s="61"/>
      <c r="T304" s="61"/>
      <c r="U304" s="61"/>
      <c r="V304" s="61"/>
      <c r="W304" s="61"/>
    </row>
    <row r="305" spans="1:23" s="17" customFormat="1" ht="15">
      <c r="A305" s="85"/>
      <c r="B305" s="155" t="s">
        <v>24</v>
      </c>
      <c r="C305" s="156"/>
      <c r="D305" s="150"/>
      <c r="E305" s="162"/>
      <c r="F305" s="163"/>
      <c r="G305" s="174"/>
      <c r="H305" s="142">
        <v>104208879</v>
      </c>
      <c r="I305" s="61">
        <v>31072190</v>
      </c>
      <c r="J305" s="61">
        <v>24664184</v>
      </c>
      <c r="K305" s="61">
        <v>20269243</v>
      </c>
      <c r="L305" s="61"/>
      <c r="M305" s="61"/>
      <c r="N305" s="61"/>
      <c r="O305" s="61"/>
      <c r="P305" s="61"/>
      <c r="Q305" s="61"/>
      <c r="R305" s="61"/>
      <c r="S305" s="61"/>
      <c r="T305" s="61"/>
      <c r="U305" s="61"/>
      <c r="V305" s="61"/>
      <c r="W305" s="61"/>
    </row>
    <row r="306" spans="1:23" s="17" customFormat="1" ht="15">
      <c r="A306" s="157" t="s">
        <v>11</v>
      </c>
      <c r="B306" s="158"/>
      <c r="C306" s="159"/>
      <c r="D306" s="150"/>
      <c r="E306" s="162"/>
      <c r="F306" s="163"/>
      <c r="G306" s="174"/>
      <c r="H306" s="61">
        <f>H307</f>
        <v>253869</v>
      </c>
      <c r="I306" s="61">
        <f>SUM(I307:I307)</f>
        <v>162677</v>
      </c>
      <c r="J306" s="61">
        <f>SUM(J307:J307)</f>
        <v>69500</v>
      </c>
      <c r="K306" s="61"/>
      <c r="L306" s="61"/>
      <c r="M306" s="61"/>
      <c r="N306" s="61"/>
      <c r="O306" s="61"/>
      <c r="P306" s="61"/>
      <c r="Q306" s="61"/>
      <c r="R306" s="61"/>
      <c r="S306" s="61"/>
      <c r="T306" s="61"/>
      <c r="U306" s="61"/>
      <c r="V306" s="61"/>
      <c r="W306" s="61"/>
    </row>
    <row r="307" spans="1:23" s="17" customFormat="1" ht="15">
      <c r="A307" s="85"/>
      <c r="B307" s="155" t="s">
        <v>24</v>
      </c>
      <c r="C307" s="156"/>
      <c r="D307" s="151"/>
      <c r="E307" s="164"/>
      <c r="F307" s="165"/>
      <c r="G307" s="175"/>
      <c r="H307" s="143">
        <v>253869</v>
      </c>
      <c r="I307" s="61">
        <f>167277-4600</f>
        <v>162677</v>
      </c>
      <c r="J307" s="61">
        <v>69500</v>
      </c>
      <c r="K307" s="61"/>
      <c r="L307" s="61"/>
      <c r="M307" s="61"/>
      <c r="N307" s="61"/>
      <c r="O307" s="61"/>
      <c r="P307" s="61"/>
      <c r="Q307" s="61"/>
      <c r="R307" s="61"/>
      <c r="S307" s="61"/>
      <c r="T307" s="61"/>
      <c r="U307" s="61"/>
      <c r="V307" s="61"/>
      <c r="W307" s="61"/>
    </row>
    <row r="308" spans="1:23" s="17" customFormat="1" ht="107.25" customHeight="1">
      <c r="A308" s="69">
        <v>10</v>
      </c>
      <c r="B308" s="77" t="s">
        <v>49</v>
      </c>
      <c r="C308" s="90" t="s">
        <v>48</v>
      </c>
      <c r="D308" s="149" t="s">
        <v>145</v>
      </c>
      <c r="E308" s="270" t="s">
        <v>38</v>
      </c>
      <c r="F308" s="161"/>
      <c r="G308" s="276" t="s">
        <v>335</v>
      </c>
      <c r="H308" s="68">
        <f>SUM(H309,H311)</f>
        <v>223182087</v>
      </c>
      <c r="I308" s="68">
        <f t="shared" ref="I308:L308" si="115">SUM(I309,I311)</f>
        <v>71497877</v>
      </c>
      <c r="J308" s="68">
        <f t="shared" si="115"/>
        <v>45820148</v>
      </c>
      <c r="K308" s="68">
        <f t="shared" si="115"/>
        <v>32721518</v>
      </c>
      <c r="L308" s="68">
        <f t="shared" si="115"/>
        <v>9990815</v>
      </c>
      <c r="M308" s="68"/>
      <c r="N308" s="68"/>
      <c r="O308" s="93"/>
      <c r="P308" s="93"/>
      <c r="Q308" s="93"/>
      <c r="R308" s="93"/>
      <c r="S308" s="93"/>
      <c r="T308" s="93"/>
      <c r="U308" s="93"/>
      <c r="V308" s="93"/>
      <c r="W308" s="79">
        <v>0</v>
      </c>
    </row>
    <row r="309" spans="1:23" s="17" customFormat="1" ht="15">
      <c r="A309" s="152" t="s">
        <v>12</v>
      </c>
      <c r="B309" s="153"/>
      <c r="C309" s="154"/>
      <c r="D309" s="150"/>
      <c r="E309" s="162"/>
      <c r="F309" s="163"/>
      <c r="G309" s="150"/>
      <c r="H309" s="61">
        <f>H310</f>
        <v>2961882</v>
      </c>
      <c r="I309" s="61">
        <f t="shared" ref="I309:L309" si="116">I310</f>
        <v>1856150</v>
      </c>
      <c r="J309" s="61">
        <f t="shared" si="116"/>
        <v>380000</v>
      </c>
      <c r="K309" s="61">
        <f t="shared" si="116"/>
        <v>443552</v>
      </c>
      <c r="L309" s="61">
        <f t="shared" si="116"/>
        <v>149862</v>
      </c>
      <c r="M309" s="61"/>
      <c r="N309" s="61"/>
      <c r="O309" s="88"/>
      <c r="P309" s="88"/>
      <c r="Q309" s="88"/>
      <c r="R309" s="88"/>
      <c r="S309" s="88"/>
      <c r="T309" s="88"/>
      <c r="U309" s="88"/>
      <c r="V309" s="88"/>
      <c r="W309" s="88"/>
    </row>
    <row r="310" spans="1:23" s="17" customFormat="1" ht="15">
      <c r="A310" s="85"/>
      <c r="B310" s="184" t="s">
        <v>24</v>
      </c>
      <c r="C310" s="185"/>
      <c r="D310" s="150"/>
      <c r="E310" s="162"/>
      <c r="F310" s="163"/>
      <c r="G310" s="150"/>
      <c r="H310" s="61">
        <v>2961882</v>
      </c>
      <c r="I310" s="94">
        <v>1856150</v>
      </c>
      <c r="J310" s="94">
        <v>380000</v>
      </c>
      <c r="K310" s="94">
        <v>443552</v>
      </c>
      <c r="L310" s="94">
        <v>149862</v>
      </c>
      <c r="M310" s="95"/>
      <c r="N310" s="61"/>
      <c r="O310" s="88"/>
      <c r="P310" s="88"/>
      <c r="Q310" s="88"/>
      <c r="R310" s="88"/>
      <c r="S310" s="88"/>
      <c r="T310" s="88"/>
      <c r="U310" s="88"/>
      <c r="V310" s="88"/>
      <c r="W310" s="88"/>
    </row>
    <row r="311" spans="1:23" s="17" customFormat="1" ht="15">
      <c r="A311" s="152" t="s">
        <v>11</v>
      </c>
      <c r="B311" s="153"/>
      <c r="C311" s="154"/>
      <c r="D311" s="150"/>
      <c r="E311" s="162"/>
      <c r="F311" s="163"/>
      <c r="G311" s="150"/>
      <c r="H311" s="61">
        <f>H312</f>
        <v>220220205</v>
      </c>
      <c r="I311" s="61">
        <f t="shared" ref="I311:L311" si="117">I312</f>
        <v>69641727</v>
      </c>
      <c r="J311" s="61">
        <f t="shared" si="117"/>
        <v>45440148</v>
      </c>
      <c r="K311" s="61">
        <f t="shared" si="117"/>
        <v>32277966</v>
      </c>
      <c r="L311" s="61">
        <f t="shared" si="117"/>
        <v>9840953</v>
      </c>
      <c r="M311" s="95"/>
      <c r="N311" s="61"/>
      <c r="O311" s="88"/>
      <c r="P311" s="88"/>
      <c r="Q311" s="88"/>
      <c r="R311" s="88"/>
      <c r="S311" s="88"/>
      <c r="T311" s="88"/>
      <c r="U311" s="88"/>
      <c r="V311" s="88"/>
      <c r="W311" s="88"/>
    </row>
    <row r="312" spans="1:23" s="17" customFormat="1" ht="15">
      <c r="A312" s="85"/>
      <c r="B312" s="184" t="s">
        <v>24</v>
      </c>
      <c r="C312" s="185"/>
      <c r="D312" s="151"/>
      <c r="E312" s="164"/>
      <c r="F312" s="165"/>
      <c r="G312" s="151"/>
      <c r="H312" s="61">
        <v>220220205</v>
      </c>
      <c r="I312" s="94">
        <f>69641727</f>
        <v>69641727</v>
      </c>
      <c r="J312" s="94">
        <v>45440148</v>
      </c>
      <c r="K312" s="94">
        <v>32277966</v>
      </c>
      <c r="L312" s="94">
        <v>9840953</v>
      </c>
      <c r="M312" s="95"/>
      <c r="N312" s="61"/>
      <c r="O312" s="88"/>
      <c r="P312" s="88"/>
      <c r="Q312" s="88"/>
      <c r="R312" s="88"/>
      <c r="S312" s="88"/>
      <c r="T312" s="88"/>
      <c r="U312" s="88"/>
      <c r="V312" s="88"/>
      <c r="W312" s="88"/>
    </row>
    <row r="313" spans="1:23" s="17" customFormat="1" ht="75">
      <c r="A313" s="69">
        <v>11</v>
      </c>
      <c r="B313" s="69" t="s">
        <v>190</v>
      </c>
      <c r="C313" s="69" t="s">
        <v>191</v>
      </c>
      <c r="D313" s="149" t="s">
        <v>145</v>
      </c>
      <c r="E313" s="172" t="s">
        <v>37</v>
      </c>
      <c r="F313" s="161"/>
      <c r="G313" s="149" t="s">
        <v>115</v>
      </c>
      <c r="H313" s="68">
        <f>SUM(H314:H315)</f>
        <v>64928160</v>
      </c>
      <c r="I313" s="68">
        <f t="shared" ref="I313:L313" si="118">SUM(I314:I315)</f>
        <v>0</v>
      </c>
      <c r="J313" s="68">
        <f t="shared" si="118"/>
        <v>18234375</v>
      </c>
      <c r="K313" s="68">
        <f t="shared" si="118"/>
        <v>9293750</v>
      </c>
      <c r="L313" s="68">
        <f t="shared" si="118"/>
        <v>4704035</v>
      </c>
      <c r="M313" s="68"/>
      <c r="N313" s="68"/>
      <c r="O313" s="68"/>
      <c r="P313" s="68"/>
      <c r="Q313" s="68"/>
      <c r="R313" s="68"/>
      <c r="S313" s="68"/>
      <c r="T313" s="68"/>
      <c r="U313" s="68"/>
      <c r="V313" s="68"/>
      <c r="W313" s="79">
        <f>11927585+34837658-14533083</f>
        <v>32232160</v>
      </c>
    </row>
    <row r="314" spans="1:23" s="17" customFormat="1" ht="15">
      <c r="A314" s="152" t="s">
        <v>12</v>
      </c>
      <c r="B314" s="153"/>
      <c r="C314" s="154"/>
      <c r="D314" s="150"/>
      <c r="E314" s="162"/>
      <c r="F314" s="163"/>
      <c r="G314" s="150"/>
      <c r="H314" s="61"/>
      <c r="I314" s="61"/>
      <c r="J314" s="61"/>
      <c r="K314" s="61"/>
      <c r="L314" s="61"/>
      <c r="M314" s="61"/>
      <c r="N314" s="61"/>
      <c r="O314" s="88"/>
      <c r="P314" s="88"/>
      <c r="Q314" s="88"/>
      <c r="R314" s="88"/>
      <c r="S314" s="88"/>
      <c r="T314" s="88"/>
      <c r="U314" s="88"/>
      <c r="V314" s="88"/>
      <c r="W314" s="88"/>
    </row>
    <row r="315" spans="1:23" s="17" customFormat="1" ht="15">
      <c r="A315" s="152" t="s">
        <v>11</v>
      </c>
      <c r="B315" s="153"/>
      <c r="C315" s="154"/>
      <c r="D315" s="150"/>
      <c r="E315" s="162"/>
      <c r="F315" s="163"/>
      <c r="G315" s="150"/>
      <c r="H315" s="61">
        <f>SUM(H316:H318)</f>
        <v>64928160</v>
      </c>
      <c r="I315" s="61">
        <f>SUM(I316:I318)</f>
        <v>0</v>
      </c>
      <c r="J315" s="61">
        <f t="shared" ref="J315:L315" si="119">SUM(J316:J318)</f>
        <v>18234375</v>
      </c>
      <c r="K315" s="61">
        <f t="shared" si="119"/>
        <v>9293750</v>
      </c>
      <c r="L315" s="61">
        <f t="shared" si="119"/>
        <v>4704035</v>
      </c>
      <c r="M315" s="61"/>
      <c r="N315" s="61"/>
      <c r="O315" s="88"/>
      <c r="P315" s="88"/>
      <c r="Q315" s="88"/>
      <c r="R315" s="88"/>
      <c r="S315" s="88"/>
      <c r="T315" s="88"/>
      <c r="U315" s="88"/>
      <c r="V315" s="88"/>
      <c r="W315" s="88"/>
    </row>
    <row r="316" spans="1:23" s="17" customFormat="1" ht="15">
      <c r="A316" s="85"/>
      <c r="B316" s="184" t="s">
        <v>25</v>
      </c>
      <c r="C316" s="185"/>
      <c r="D316" s="150"/>
      <c r="E316" s="162"/>
      <c r="F316" s="163"/>
      <c r="G316" s="150"/>
      <c r="H316" s="61">
        <v>1616320</v>
      </c>
      <c r="I316" s="61"/>
      <c r="J316" s="61">
        <v>0</v>
      </c>
      <c r="K316" s="61">
        <v>0</v>
      </c>
      <c r="L316" s="61">
        <v>0</v>
      </c>
      <c r="M316" s="61"/>
      <c r="N316" s="61"/>
      <c r="O316" s="88"/>
      <c r="P316" s="88"/>
      <c r="Q316" s="88"/>
      <c r="R316" s="88"/>
      <c r="S316" s="88"/>
      <c r="T316" s="88"/>
      <c r="U316" s="88"/>
      <c r="V316" s="88"/>
      <c r="W316" s="88"/>
    </row>
    <row r="317" spans="1:23" s="17" customFormat="1" ht="15">
      <c r="A317" s="85"/>
      <c r="B317" s="184" t="s">
        <v>24</v>
      </c>
      <c r="C317" s="185"/>
      <c r="D317" s="150"/>
      <c r="E317" s="162"/>
      <c r="F317" s="163"/>
      <c r="G317" s="150"/>
      <c r="H317" s="61">
        <v>36778480</v>
      </c>
      <c r="I317" s="61"/>
      <c r="J317" s="61">
        <v>14587500</v>
      </c>
      <c r="K317" s="61">
        <v>7293750</v>
      </c>
      <c r="L317" s="61">
        <v>1216280</v>
      </c>
      <c r="M317" s="61"/>
      <c r="N317" s="61"/>
      <c r="O317" s="88"/>
      <c r="P317" s="88"/>
      <c r="Q317" s="88"/>
      <c r="R317" s="88"/>
      <c r="S317" s="88"/>
      <c r="T317" s="88"/>
      <c r="U317" s="88"/>
      <c r="V317" s="88"/>
      <c r="W317" s="88"/>
    </row>
    <row r="318" spans="1:23" s="17" customFormat="1" ht="15">
      <c r="A318" s="85"/>
      <c r="B318" s="153" t="s">
        <v>153</v>
      </c>
      <c r="C318" s="154"/>
      <c r="D318" s="151"/>
      <c r="E318" s="164"/>
      <c r="F318" s="165"/>
      <c r="G318" s="151"/>
      <c r="H318" s="61">
        <v>26533360</v>
      </c>
      <c r="I318" s="61"/>
      <c r="J318" s="61">
        <v>3646875</v>
      </c>
      <c r="K318" s="61">
        <v>2000000</v>
      </c>
      <c r="L318" s="61">
        <v>3487755</v>
      </c>
      <c r="M318" s="61"/>
      <c r="N318" s="88"/>
      <c r="O318" s="88"/>
      <c r="P318" s="88"/>
      <c r="Q318" s="88"/>
      <c r="R318" s="88"/>
      <c r="S318" s="88"/>
      <c r="T318" s="88"/>
      <c r="U318" s="88"/>
      <c r="V318" s="88"/>
      <c r="W318" s="88"/>
    </row>
    <row r="319" spans="1:23" s="17" customFormat="1" ht="75">
      <c r="A319" s="69">
        <v>12</v>
      </c>
      <c r="B319" s="69" t="s">
        <v>192</v>
      </c>
      <c r="C319" s="69" t="s">
        <v>187</v>
      </c>
      <c r="D319" s="149" t="s">
        <v>145</v>
      </c>
      <c r="E319" s="172" t="s">
        <v>142</v>
      </c>
      <c r="F319" s="161"/>
      <c r="G319" s="149" t="s">
        <v>115</v>
      </c>
      <c r="H319" s="68">
        <f>SUM(H320,H323)</f>
        <v>88838283</v>
      </c>
      <c r="I319" s="68">
        <f>SUM(I320,I323)</f>
        <v>45882425</v>
      </c>
      <c r="J319" s="68">
        <f>SUM(J320,J323)</f>
        <v>42955858</v>
      </c>
      <c r="K319" s="68"/>
      <c r="L319" s="68"/>
      <c r="M319" s="68"/>
      <c r="N319" s="68"/>
      <c r="O319" s="93"/>
      <c r="P319" s="93"/>
      <c r="Q319" s="93"/>
      <c r="R319" s="93"/>
      <c r="S319" s="93"/>
      <c r="T319" s="93"/>
      <c r="U319" s="93"/>
      <c r="V319" s="93"/>
      <c r="W319" s="79">
        <f>45000000-2044142</f>
        <v>42955858</v>
      </c>
    </row>
    <row r="320" spans="1:23" s="17" customFormat="1" ht="15">
      <c r="A320" s="152" t="s">
        <v>12</v>
      </c>
      <c r="B320" s="153"/>
      <c r="C320" s="154"/>
      <c r="D320" s="150"/>
      <c r="E320" s="162"/>
      <c r="F320" s="163"/>
      <c r="G320" s="150"/>
      <c r="H320" s="61">
        <f>SUM(H321:H322)</f>
        <v>88838283</v>
      </c>
      <c r="I320" s="61">
        <f t="shared" ref="I320:J320" si="120">SUM(I321:I322)</f>
        <v>45882425</v>
      </c>
      <c r="J320" s="61">
        <f t="shared" si="120"/>
        <v>42955858</v>
      </c>
      <c r="K320" s="61"/>
      <c r="L320" s="61"/>
      <c r="M320" s="61"/>
      <c r="N320" s="61"/>
      <c r="O320" s="88"/>
      <c r="P320" s="88"/>
      <c r="Q320" s="88"/>
      <c r="R320" s="88"/>
      <c r="S320" s="88"/>
      <c r="T320" s="88"/>
      <c r="U320" s="88"/>
      <c r="V320" s="88"/>
      <c r="W320" s="88"/>
    </row>
    <row r="321" spans="1:23" s="17" customFormat="1" ht="15">
      <c r="A321" s="85"/>
      <c r="B321" s="184" t="s">
        <v>25</v>
      </c>
      <c r="C321" s="185"/>
      <c r="D321" s="150"/>
      <c r="E321" s="162"/>
      <c r="F321" s="163"/>
      <c r="G321" s="150"/>
      <c r="H321" s="61">
        <v>81488283</v>
      </c>
      <c r="I321" s="61">
        <v>38532425</v>
      </c>
      <c r="J321" s="61">
        <v>42955858</v>
      </c>
      <c r="K321" s="61"/>
      <c r="L321" s="61"/>
      <c r="M321" s="61"/>
      <c r="N321" s="61"/>
      <c r="O321" s="88"/>
      <c r="P321" s="88"/>
      <c r="Q321" s="88"/>
      <c r="R321" s="88"/>
      <c r="S321" s="88"/>
      <c r="T321" s="88"/>
      <c r="U321" s="88"/>
      <c r="V321" s="88"/>
      <c r="W321" s="88"/>
    </row>
    <row r="322" spans="1:23" s="17" customFormat="1" ht="15">
      <c r="A322" s="85"/>
      <c r="B322" s="153" t="s">
        <v>153</v>
      </c>
      <c r="C322" s="154"/>
      <c r="D322" s="150"/>
      <c r="E322" s="162"/>
      <c r="F322" s="163"/>
      <c r="G322" s="150"/>
      <c r="H322" s="61">
        <v>7350000</v>
      </c>
      <c r="I322" s="61">
        <v>7350000</v>
      </c>
      <c r="J322" s="61"/>
      <c r="K322" s="61"/>
      <c r="L322" s="61"/>
      <c r="M322" s="61"/>
      <c r="N322" s="61"/>
      <c r="O322" s="88"/>
      <c r="P322" s="88"/>
      <c r="Q322" s="88"/>
      <c r="R322" s="88"/>
      <c r="S322" s="88"/>
      <c r="T322" s="88"/>
      <c r="U322" s="88"/>
      <c r="V322" s="88"/>
      <c r="W322" s="88"/>
    </row>
    <row r="323" spans="1:23" s="17" customFormat="1" ht="15">
      <c r="A323" s="152" t="s">
        <v>4</v>
      </c>
      <c r="B323" s="153"/>
      <c r="C323" s="154"/>
      <c r="D323" s="151"/>
      <c r="E323" s="164"/>
      <c r="F323" s="165"/>
      <c r="G323" s="151"/>
      <c r="H323" s="61"/>
      <c r="I323" s="61"/>
      <c r="J323" s="61"/>
      <c r="K323" s="88"/>
      <c r="L323" s="88"/>
      <c r="M323" s="88"/>
      <c r="N323" s="88"/>
      <c r="O323" s="88"/>
      <c r="P323" s="88"/>
      <c r="Q323" s="88"/>
      <c r="R323" s="88"/>
      <c r="S323" s="88"/>
      <c r="T323" s="88"/>
      <c r="U323" s="88"/>
      <c r="V323" s="88"/>
      <c r="W323" s="88"/>
    </row>
    <row r="324" spans="1:23" s="17" customFormat="1" ht="45">
      <c r="A324" s="69">
        <v>13</v>
      </c>
      <c r="B324" s="86" t="s">
        <v>301</v>
      </c>
      <c r="C324" s="86" t="s">
        <v>302</v>
      </c>
      <c r="D324" s="190" t="s">
        <v>145</v>
      </c>
      <c r="E324" s="191" t="s">
        <v>268</v>
      </c>
      <c r="F324" s="161"/>
      <c r="G324" s="190" t="s">
        <v>115</v>
      </c>
      <c r="H324" s="68">
        <f>SUM(H325,H327)</f>
        <v>1446552</v>
      </c>
      <c r="I324" s="68">
        <f t="shared" ref="I324:J324" si="121">SUM(I325,I327)</f>
        <v>446552</v>
      </c>
      <c r="J324" s="68">
        <f t="shared" si="121"/>
        <v>1000000</v>
      </c>
      <c r="K324" s="93"/>
      <c r="L324" s="93"/>
      <c r="M324" s="93"/>
      <c r="N324" s="93"/>
      <c r="O324" s="93"/>
      <c r="P324" s="93"/>
      <c r="Q324" s="93"/>
      <c r="R324" s="93"/>
      <c r="S324" s="93"/>
      <c r="T324" s="93"/>
      <c r="U324" s="93"/>
      <c r="V324" s="93"/>
      <c r="W324" s="79">
        <f>600000+400000</f>
        <v>1000000</v>
      </c>
    </row>
    <row r="325" spans="1:23" s="17" customFormat="1" ht="15">
      <c r="A325" s="152" t="s">
        <v>12</v>
      </c>
      <c r="B325" s="153"/>
      <c r="C325" s="154"/>
      <c r="D325" s="150"/>
      <c r="E325" s="162"/>
      <c r="F325" s="163"/>
      <c r="G325" s="150"/>
      <c r="H325" s="61">
        <f>H326</f>
        <v>1446552</v>
      </c>
      <c r="I325" s="61">
        <f t="shared" ref="I325:J325" si="122">I326</f>
        <v>446552</v>
      </c>
      <c r="J325" s="61">
        <f t="shared" si="122"/>
        <v>1000000</v>
      </c>
      <c r="K325" s="88"/>
      <c r="L325" s="88"/>
      <c r="M325" s="88"/>
      <c r="N325" s="88"/>
      <c r="O325" s="88"/>
      <c r="P325" s="88"/>
      <c r="Q325" s="88"/>
      <c r="R325" s="88"/>
      <c r="S325" s="88"/>
      <c r="T325" s="88"/>
      <c r="U325" s="88"/>
      <c r="V325" s="88"/>
      <c r="W325" s="88"/>
    </row>
    <row r="326" spans="1:23" s="17" customFormat="1" ht="15">
      <c r="A326" s="85"/>
      <c r="B326" s="184" t="s">
        <v>25</v>
      </c>
      <c r="C326" s="185"/>
      <c r="D326" s="150"/>
      <c r="E326" s="162"/>
      <c r="F326" s="163"/>
      <c r="G326" s="150"/>
      <c r="H326" s="61">
        <v>1446552</v>
      </c>
      <c r="I326" s="61">
        <v>446552</v>
      </c>
      <c r="J326" s="61">
        <v>1000000</v>
      </c>
      <c r="K326" s="88"/>
      <c r="L326" s="88"/>
      <c r="M326" s="88"/>
      <c r="N326" s="88"/>
      <c r="O326" s="88"/>
      <c r="P326" s="88"/>
      <c r="Q326" s="88"/>
      <c r="R326" s="88"/>
      <c r="S326" s="88"/>
      <c r="T326" s="88"/>
      <c r="U326" s="88"/>
      <c r="V326" s="88"/>
      <c r="W326" s="88"/>
    </row>
    <row r="327" spans="1:23" s="17" customFormat="1" ht="15">
      <c r="A327" s="152" t="s">
        <v>4</v>
      </c>
      <c r="B327" s="153"/>
      <c r="C327" s="154"/>
      <c r="D327" s="151"/>
      <c r="E327" s="164"/>
      <c r="F327" s="165"/>
      <c r="G327" s="151"/>
      <c r="H327" s="61"/>
      <c r="I327" s="61"/>
      <c r="J327" s="61"/>
      <c r="K327" s="88"/>
      <c r="L327" s="88"/>
      <c r="M327" s="88"/>
      <c r="N327" s="88"/>
      <c r="O327" s="88"/>
      <c r="P327" s="88"/>
      <c r="Q327" s="88"/>
      <c r="R327" s="88"/>
      <c r="S327" s="88"/>
      <c r="T327" s="88"/>
      <c r="U327" s="88"/>
      <c r="V327" s="88"/>
      <c r="W327" s="88"/>
    </row>
    <row r="328" spans="1:23" s="17" customFormat="1" ht="30">
      <c r="A328" s="69">
        <v>14</v>
      </c>
      <c r="B328" s="117" t="s">
        <v>313</v>
      </c>
      <c r="C328" s="117" t="s">
        <v>187</v>
      </c>
      <c r="D328" s="149" t="s">
        <v>145</v>
      </c>
      <c r="E328" s="176" t="s">
        <v>314</v>
      </c>
      <c r="F328" s="161"/>
      <c r="G328" s="149" t="s">
        <v>115</v>
      </c>
      <c r="H328" s="68">
        <f>SUM(H329,H332)</f>
        <v>10802368</v>
      </c>
      <c r="I328" s="68">
        <f>SUM(I329,I332)</f>
        <v>0</v>
      </c>
      <c r="J328" s="68">
        <f>SUM(J329,J332)</f>
        <v>100000</v>
      </c>
      <c r="K328" s="68">
        <f t="shared" ref="K328:N328" si="123">SUM(K329,K332)</f>
        <v>2580000</v>
      </c>
      <c r="L328" s="68">
        <f t="shared" si="123"/>
        <v>3285000</v>
      </c>
      <c r="M328" s="68">
        <f t="shared" si="123"/>
        <v>3285000</v>
      </c>
      <c r="N328" s="68">
        <f t="shared" si="123"/>
        <v>1552368</v>
      </c>
      <c r="O328" s="93"/>
      <c r="P328" s="93"/>
      <c r="Q328" s="93"/>
      <c r="R328" s="93"/>
      <c r="S328" s="93"/>
      <c r="T328" s="93"/>
      <c r="U328" s="93"/>
      <c r="V328" s="93"/>
      <c r="W328" s="79">
        <v>10802368</v>
      </c>
    </row>
    <row r="329" spans="1:23" s="17" customFormat="1" ht="15">
      <c r="A329" s="152" t="s">
        <v>12</v>
      </c>
      <c r="B329" s="153"/>
      <c r="C329" s="154"/>
      <c r="D329" s="150"/>
      <c r="E329" s="162"/>
      <c r="F329" s="163"/>
      <c r="G329" s="150"/>
      <c r="H329" s="61">
        <f>SUM(H330:H331)</f>
        <v>10802368</v>
      </c>
      <c r="I329" s="61">
        <f t="shared" ref="I329:J329" si="124">SUM(I330:I331)</f>
        <v>0</v>
      </c>
      <c r="J329" s="61">
        <f t="shared" si="124"/>
        <v>100000</v>
      </c>
      <c r="K329" s="61">
        <f t="shared" ref="K329:M329" si="125">SUM(K330:K331)</f>
        <v>2580000</v>
      </c>
      <c r="L329" s="61">
        <f t="shared" si="125"/>
        <v>3285000</v>
      </c>
      <c r="M329" s="61">
        <f t="shared" si="125"/>
        <v>3285000</v>
      </c>
      <c r="N329" s="61">
        <f t="shared" ref="N329" si="126">SUM(N330:N331)</f>
        <v>1552368</v>
      </c>
      <c r="O329" s="88"/>
      <c r="P329" s="88"/>
      <c r="Q329" s="88"/>
      <c r="R329" s="88"/>
      <c r="S329" s="88"/>
      <c r="T329" s="88"/>
      <c r="U329" s="88"/>
      <c r="V329" s="88"/>
      <c r="W329" s="88"/>
    </row>
    <row r="330" spans="1:23" s="17" customFormat="1" ht="15">
      <c r="A330" s="85"/>
      <c r="B330" s="184" t="s">
        <v>25</v>
      </c>
      <c r="C330" s="185"/>
      <c r="D330" s="150"/>
      <c r="E330" s="162"/>
      <c r="F330" s="163"/>
      <c r="G330" s="150"/>
      <c r="H330" s="61">
        <v>1552368</v>
      </c>
      <c r="I330" s="61"/>
      <c r="J330" s="61">
        <v>0</v>
      </c>
      <c r="K330" s="61">
        <v>0</v>
      </c>
      <c r="L330" s="61">
        <v>0</v>
      </c>
      <c r="M330" s="61">
        <v>0</v>
      </c>
      <c r="N330" s="61">
        <v>1552368</v>
      </c>
      <c r="O330" s="88"/>
      <c r="P330" s="88"/>
      <c r="Q330" s="88"/>
      <c r="R330" s="88"/>
      <c r="S330" s="88"/>
      <c r="T330" s="88"/>
      <c r="U330" s="88"/>
      <c r="V330" s="88"/>
      <c r="W330" s="88"/>
    </row>
    <row r="331" spans="1:23" s="17" customFormat="1" ht="15">
      <c r="A331" s="85"/>
      <c r="B331" s="153" t="s">
        <v>153</v>
      </c>
      <c r="C331" s="154"/>
      <c r="D331" s="150"/>
      <c r="E331" s="162"/>
      <c r="F331" s="163"/>
      <c r="G331" s="150"/>
      <c r="H331" s="61">
        <v>9250000</v>
      </c>
      <c r="I331" s="61"/>
      <c r="J331" s="61">
        <v>100000</v>
      </c>
      <c r="K331" s="61">
        <v>2580000</v>
      </c>
      <c r="L331" s="61">
        <v>3285000</v>
      </c>
      <c r="M331" s="61">
        <v>3285000</v>
      </c>
      <c r="N331" s="61"/>
      <c r="O331" s="88"/>
      <c r="P331" s="88"/>
      <c r="Q331" s="88"/>
      <c r="R331" s="88"/>
      <c r="S331" s="88"/>
      <c r="T331" s="88"/>
      <c r="U331" s="88"/>
      <c r="V331" s="88"/>
      <c r="W331" s="88"/>
    </row>
    <row r="332" spans="1:23" s="17" customFormat="1" ht="15">
      <c r="A332" s="152" t="s">
        <v>4</v>
      </c>
      <c r="B332" s="153"/>
      <c r="C332" s="154"/>
      <c r="D332" s="151"/>
      <c r="E332" s="164"/>
      <c r="F332" s="165"/>
      <c r="G332" s="151"/>
      <c r="H332" s="61"/>
      <c r="I332" s="61"/>
      <c r="J332" s="61"/>
      <c r="K332" s="88"/>
      <c r="L332" s="88"/>
      <c r="M332" s="88"/>
      <c r="N332" s="88"/>
      <c r="O332" s="88"/>
      <c r="P332" s="88"/>
      <c r="Q332" s="88"/>
      <c r="R332" s="88"/>
      <c r="S332" s="88"/>
      <c r="T332" s="88"/>
      <c r="U332" s="88"/>
      <c r="V332" s="88"/>
      <c r="W332" s="88"/>
    </row>
    <row r="333" spans="1:23" s="17" customFormat="1" ht="30">
      <c r="A333" s="69">
        <v>15</v>
      </c>
      <c r="B333" s="117" t="s">
        <v>315</v>
      </c>
      <c r="C333" s="117" t="s">
        <v>187</v>
      </c>
      <c r="D333" s="149" t="s">
        <v>145</v>
      </c>
      <c r="E333" s="176" t="s">
        <v>316</v>
      </c>
      <c r="F333" s="161"/>
      <c r="G333" s="149" t="s">
        <v>115</v>
      </c>
      <c r="H333" s="68">
        <f>SUM(H334,H337)</f>
        <v>3240000</v>
      </c>
      <c r="I333" s="68">
        <f>SUM(I334,I337)</f>
        <v>0</v>
      </c>
      <c r="J333" s="68">
        <f>SUM(J334,J337)</f>
        <v>0</v>
      </c>
      <c r="K333" s="68">
        <f t="shared" ref="K333" si="127">SUM(K334,K337)</f>
        <v>0</v>
      </c>
      <c r="L333" s="68">
        <f t="shared" ref="L333" si="128">SUM(L334,L337)</f>
        <v>502500</v>
      </c>
      <c r="M333" s="68">
        <f t="shared" ref="M333" si="129">SUM(M334,M337)</f>
        <v>547500</v>
      </c>
      <c r="N333" s="68">
        <f t="shared" ref="N333" si="130">SUM(N334,N337)</f>
        <v>547500</v>
      </c>
      <c r="O333" s="68">
        <f t="shared" ref="O333" si="131">SUM(O334,O337)</f>
        <v>547500</v>
      </c>
      <c r="P333" s="68">
        <f t="shared" ref="P333" si="132">SUM(P334,P337)</f>
        <v>547500</v>
      </c>
      <c r="Q333" s="68">
        <f t="shared" ref="Q333" si="133">SUM(Q334,Q337)</f>
        <v>547500</v>
      </c>
      <c r="R333" s="93"/>
      <c r="S333" s="93"/>
      <c r="T333" s="93"/>
      <c r="U333" s="93"/>
      <c r="V333" s="93"/>
      <c r="W333" s="79">
        <v>3240000</v>
      </c>
    </row>
    <row r="334" spans="1:23" s="17" customFormat="1" ht="15">
      <c r="A334" s="152" t="s">
        <v>12</v>
      </c>
      <c r="B334" s="153"/>
      <c r="C334" s="154"/>
      <c r="D334" s="150"/>
      <c r="E334" s="162"/>
      <c r="F334" s="163"/>
      <c r="G334" s="150"/>
      <c r="H334" s="61">
        <f>SUM(H335:H336)</f>
        <v>3240000</v>
      </c>
      <c r="I334" s="61">
        <f t="shared" ref="I334:N334" si="134">SUM(I335:I336)</f>
        <v>0</v>
      </c>
      <c r="J334" s="61">
        <f t="shared" si="134"/>
        <v>0</v>
      </c>
      <c r="K334" s="61">
        <f t="shared" si="134"/>
        <v>0</v>
      </c>
      <c r="L334" s="61">
        <f t="shared" si="134"/>
        <v>502500</v>
      </c>
      <c r="M334" s="61">
        <f t="shared" si="134"/>
        <v>547500</v>
      </c>
      <c r="N334" s="61">
        <f t="shared" si="134"/>
        <v>547500</v>
      </c>
      <c r="O334" s="61">
        <f t="shared" ref="O334:Q334" si="135">SUM(O335:O336)</f>
        <v>547500</v>
      </c>
      <c r="P334" s="61">
        <f t="shared" si="135"/>
        <v>547500</v>
      </c>
      <c r="Q334" s="61">
        <f t="shared" si="135"/>
        <v>547500</v>
      </c>
      <c r="R334" s="88"/>
      <c r="S334" s="88"/>
      <c r="T334" s="88"/>
      <c r="U334" s="88"/>
      <c r="V334" s="88"/>
      <c r="W334" s="88"/>
    </row>
    <row r="335" spans="1:23" s="17" customFormat="1" ht="15">
      <c r="A335" s="85"/>
      <c r="B335" s="184" t="s">
        <v>25</v>
      </c>
      <c r="C335" s="185"/>
      <c r="D335" s="150"/>
      <c r="E335" s="162"/>
      <c r="F335" s="163"/>
      <c r="G335" s="150"/>
      <c r="H335" s="61">
        <v>2190000</v>
      </c>
      <c r="I335" s="61">
        <v>0</v>
      </c>
      <c r="J335" s="61">
        <v>0</v>
      </c>
      <c r="K335" s="61">
        <v>0</v>
      </c>
      <c r="L335" s="61">
        <v>0</v>
      </c>
      <c r="M335" s="61">
        <v>0</v>
      </c>
      <c r="N335" s="61">
        <v>547500</v>
      </c>
      <c r="O335" s="113">
        <v>547500</v>
      </c>
      <c r="P335" s="113">
        <v>547500</v>
      </c>
      <c r="Q335" s="113">
        <v>547500</v>
      </c>
      <c r="R335" s="88"/>
      <c r="S335" s="88"/>
      <c r="T335" s="88"/>
      <c r="U335" s="88"/>
      <c r="V335" s="88"/>
      <c r="W335" s="88"/>
    </row>
    <row r="336" spans="1:23" s="17" customFormat="1" ht="15">
      <c r="A336" s="85"/>
      <c r="B336" s="153" t="s">
        <v>153</v>
      </c>
      <c r="C336" s="154"/>
      <c r="D336" s="150"/>
      <c r="E336" s="162"/>
      <c r="F336" s="163"/>
      <c r="G336" s="150"/>
      <c r="H336" s="61">
        <v>1050000</v>
      </c>
      <c r="I336" s="61">
        <v>0</v>
      </c>
      <c r="J336" s="61">
        <v>0</v>
      </c>
      <c r="K336" s="61">
        <v>0</v>
      </c>
      <c r="L336" s="61">
        <v>502500</v>
      </c>
      <c r="M336" s="61">
        <v>547500</v>
      </c>
      <c r="N336" s="61"/>
      <c r="O336" s="88"/>
      <c r="P336" s="88"/>
      <c r="Q336" s="88"/>
      <c r="R336" s="88"/>
      <c r="S336" s="88"/>
      <c r="T336" s="88"/>
      <c r="U336" s="88"/>
      <c r="V336" s="88"/>
      <c r="W336" s="88"/>
    </row>
    <row r="337" spans="1:23" s="17" customFormat="1" ht="15">
      <c r="A337" s="152" t="s">
        <v>4</v>
      </c>
      <c r="B337" s="153"/>
      <c r="C337" s="154"/>
      <c r="D337" s="151"/>
      <c r="E337" s="164"/>
      <c r="F337" s="165"/>
      <c r="G337" s="151"/>
      <c r="H337" s="61"/>
      <c r="I337" s="61"/>
      <c r="J337" s="61"/>
      <c r="K337" s="88"/>
      <c r="L337" s="88"/>
      <c r="M337" s="88"/>
      <c r="N337" s="88"/>
      <c r="O337" s="88"/>
      <c r="P337" s="88"/>
      <c r="Q337" s="88"/>
      <c r="R337" s="88"/>
      <c r="S337" s="88"/>
      <c r="T337" s="88"/>
      <c r="U337" s="88"/>
      <c r="V337" s="88"/>
      <c r="W337" s="88"/>
    </row>
    <row r="338" spans="1:23" s="17" customFormat="1" ht="30">
      <c r="A338" s="69">
        <v>16</v>
      </c>
      <c r="B338" s="117" t="s">
        <v>327</v>
      </c>
      <c r="C338" s="117" t="s">
        <v>328</v>
      </c>
      <c r="D338" s="190" t="s">
        <v>145</v>
      </c>
      <c r="E338" s="160" t="s">
        <v>268</v>
      </c>
      <c r="F338" s="161"/>
      <c r="G338" s="280" t="s">
        <v>115</v>
      </c>
      <c r="H338" s="68">
        <f>SUM(H339,H341)</f>
        <v>1000000</v>
      </c>
      <c r="I338" s="68">
        <f t="shared" ref="I338:J338" si="136">SUM(I339,I341)</f>
        <v>300000</v>
      </c>
      <c r="J338" s="68">
        <f t="shared" si="136"/>
        <v>700000</v>
      </c>
      <c r="K338" s="93"/>
      <c r="L338" s="93"/>
      <c r="M338" s="93"/>
      <c r="N338" s="93"/>
      <c r="O338" s="93"/>
      <c r="P338" s="93"/>
      <c r="Q338" s="93"/>
      <c r="R338" s="93"/>
      <c r="S338" s="93"/>
      <c r="T338" s="93"/>
      <c r="U338" s="93"/>
      <c r="V338" s="93"/>
      <c r="W338" s="79">
        <v>700000</v>
      </c>
    </row>
    <row r="339" spans="1:23" s="17" customFormat="1" ht="15">
      <c r="A339" s="152" t="s">
        <v>12</v>
      </c>
      <c r="B339" s="153"/>
      <c r="C339" s="154"/>
      <c r="D339" s="150"/>
      <c r="E339" s="162"/>
      <c r="F339" s="163"/>
      <c r="G339" s="150"/>
      <c r="H339" s="61">
        <f>H340</f>
        <v>1000000</v>
      </c>
      <c r="I339" s="61">
        <f t="shared" ref="I339:J339" si="137">I340</f>
        <v>300000</v>
      </c>
      <c r="J339" s="61">
        <f t="shared" si="137"/>
        <v>700000</v>
      </c>
      <c r="K339" s="88"/>
      <c r="L339" s="88"/>
      <c r="M339" s="88"/>
      <c r="N339" s="88"/>
      <c r="O339" s="88"/>
      <c r="P339" s="88"/>
      <c r="Q339" s="88"/>
      <c r="R339" s="88"/>
      <c r="S339" s="88"/>
      <c r="T339" s="88"/>
      <c r="U339" s="88"/>
      <c r="V339" s="88"/>
      <c r="W339" s="88"/>
    </row>
    <row r="340" spans="1:23" s="17" customFormat="1" ht="15">
      <c r="A340" s="85"/>
      <c r="B340" s="184" t="s">
        <v>25</v>
      </c>
      <c r="C340" s="185"/>
      <c r="D340" s="150"/>
      <c r="E340" s="162"/>
      <c r="F340" s="163"/>
      <c r="G340" s="150"/>
      <c r="H340" s="61">
        <v>1000000</v>
      </c>
      <c r="I340" s="61">
        <v>300000</v>
      </c>
      <c r="J340" s="61">
        <v>700000</v>
      </c>
      <c r="K340" s="88"/>
      <c r="L340" s="88"/>
      <c r="M340" s="88"/>
      <c r="N340" s="88"/>
      <c r="O340" s="88"/>
      <c r="P340" s="88"/>
      <c r="Q340" s="88"/>
      <c r="R340" s="88"/>
      <c r="S340" s="88"/>
      <c r="T340" s="88"/>
      <c r="U340" s="88"/>
      <c r="V340" s="88"/>
      <c r="W340" s="88"/>
    </row>
    <row r="341" spans="1:23" s="17" customFormat="1" ht="15">
      <c r="A341" s="152" t="s">
        <v>4</v>
      </c>
      <c r="B341" s="153"/>
      <c r="C341" s="154"/>
      <c r="D341" s="151"/>
      <c r="E341" s="164"/>
      <c r="F341" s="165"/>
      <c r="G341" s="151"/>
      <c r="H341" s="61"/>
      <c r="I341" s="61"/>
      <c r="J341" s="61"/>
      <c r="K341" s="88"/>
      <c r="L341" s="88"/>
      <c r="M341" s="88"/>
      <c r="N341" s="88"/>
      <c r="O341" s="88"/>
      <c r="P341" s="88"/>
      <c r="Q341" s="88"/>
      <c r="R341" s="88"/>
      <c r="S341" s="88"/>
      <c r="T341" s="88"/>
      <c r="U341" s="88"/>
      <c r="V341" s="88"/>
      <c r="W341" s="88"/>
    </row>
    <row r="342" spans="1:23" s="17" customFormat="1" ht="60">
      <c r="A342" s="69">
        <v>17</v>
      </c>
      <c r="B342" s="86" t="s">
        <v>266</v>
      </c>
      <c r="C342" s="86" t="s">
        <v>267</v>
      </c>
      <c r="D342" s="190" t="s">
        <v>145</v>
      </c>
      <c r="E342" s="160" t="s">
        <v>268</v>
      </c>
      <c r="F342" s="161"/>
      <c r="G342" s="190" t="s">
        <v>269</v>
      </c>
      <c r="H342" s="68">
        <f>SUM(H343,H345)</f>
        <v>750000</v>
      </c>
      <c r="I342" s="68">
        <f t="shared" ref="I342:J342" si="138">SUM(I343,I345)</f>
        <v>500000</v>
      </c>
      <c r="J342" s="68">
        <f t="shared" si="138"/>
        <v>250000</v>
      </c>
      <c r="K342" s="93"/>
      <c r="L342" s="93"/>
      <c r="M342" s="93"/>
      <c r="N342" s="93"/>
      <c r="O342" s="93"/>
      <c r="P342" s="93"/>
      <c r="Q342" s="93"/>
      <c r="R342" s="93"/>
      <c r="S342" s="93"/>
      <c r="T342" s="93"/>
      <c r="U342" s="93"/>
      <c r="V342" s="93"/>
      <c r="W342" s="79">
        <v>250000</v>
      </c>
    </row>
    <row r="343" spans="1:23" s="17" customFormat="1" ht="15">
      <c r="A343" s="152" t="s">
        <v>12</v>
      </c>
      <c r="B343" s="153"/>
      <c r="C343" s="154"/>
      <c r="D343" s="150"/>
      <c r="E343" s="162"/>
      <c r="F343" s="163"/>
      <c r="G343" s="150"/>
      <c r="H343" s="61">
        <f>H344</f>
        <v>750000</v>
      </c>
      <c r="I343" s="61">
        <f t="shared" ref="I343:J343" si="139">I344</f>
        <v>500000</v>
      </c>
      <c r="J343" s="61">
        <f t="shared" si="139"/>
        <v>250000</v>
      </c>
      <c r="K343" s="88"/>
      <c r="L343" s="88"/>
      <c r="M343" s="88"/>
      <c r="N343" s="88"/>
      <c r="O343" s="88"/>
      <c r="P343" s="88"/>
      <c r="Q343" s="88"/>
      <c r="R343" s="88"/>
      <c r="S343" s="88"/>
      <c r="T343" s="88"/>
      <c r="U343" s="88"/>
      <c r="V343" s="88"/>
      <c r="W343" s="88"/>
    </row>
    <row r="344" spans="1:23" s="17" customFormat="1" ht="15">
      <c r="A344" s="85"/>
      <c r="B344" s="184" t="s">
        <v>25</v>
      </c>
      <c r="C344" s="185"/>
      <c r="D344" s="150"/>
      <c r="E344" s="162"/>
      <c r="F344" s="163"/>
      <c r="G344" s="150"/>
      <c r="H344" s="61">
        <v>750000</v>
      </c>
      <c r="I344" s="61">
        <v>500000</v>
      </c>
      <c r="J344" s="61">
        <v>250000</v>
      </c>
      <c r="K344" s="88"/>
      <c r="L344" s="88"/>
      <c r="M344" s="88"/>
      <c r="N344" s="88"/>
      <c r="O344" s="88"/>
      <c r="P344" s="88"/>
      <c r="Q344" s="88"/>
      <c r="R344" s="88"/>
      <c r="S344" s="88"/>
      <c r="T344" s="88"/>
      <c r="U344" s="88"/>
      <c r="V344" s="88"/>
      <c r="W344" s="88"/>
    </row>
    <row r="345" spans="1:23" s="17" customFormat="1" ht="15">
      <c r="A345" s="152" t="s">
        <v>4</v>
      </c>
      <c r="B345" s="153"/>
      <c r="C345" s="154"/>
      <c r="D345" s="151"/>
      <c r="E345" s="164"/>
      <c r="F345" s="165"/>
      <c r="G345" s="151"/>
      <c r="H345" s="61"/>
      <c r="I345" s="61"/>
      <c r="J345" s="61"/>
      <c r="K345" s="88"/>
      <c r="L345" s="88"/>
      <c r="M345" s="88"/>
      <c r="N345" s="88"/>
      <c r="O345" s="88"/>
      <c r="P345" s="88"/>
      <c r="Q345" s="88"/>
      <c r="R345" s="88"/>
      <c r="S345" s="88"/>
      <c r="T345" s="88"/>
      <c r="U345" s="88"/>
      <c r="V345" s="88"/>
      <c r="W345" s="88"/>
    </row>
    <row r="346" spans="1:23" s="17" customFormat="1" ht="45">
      <c r="A346" s="69">
        <v>18</v>
      </c>
      <c r="B346" s="86" t="s">
        <v>303</v>
      </c>
      <c r="C346" s="86" t="s">
        <v>304</v>
      </c>
      <c r="D346" s="190" t="s">
        <v>145</v>
      </c>
      <c r="E346" s="160" t="s">
        <v>268</v>
      </c>
      <c r="F346" s="161"/>
      <c r="G346" s="190" t="s">
        <v>305</v>
      </c>
      <c r="H346" s="68">
        <f>SUM(H347,H349)</f>
        <v>290000</v>
      </c>
      <c r="I346" s="68">
        <f t="shared" ref="I346:J346" si="140">SUM(I347,I349)</f>
        <v>140000</v>
      </c>
      <c r="J346" s="68">
        <f t="shared" si="140"/>
        <v>150000</v>
      </c>
      <c r="K346" s="93"/>
      <c r="L346" s="93"/>
      <c r="M346" s="93"/>
      <c r="N346" s="93"/>
      <c r="O346" s="93"/>
      <c r="P346" s="93"/>
      <c r="Q346" s="93"/>
      <c r="R346" s="93"/>
      <c r="S346" s="93"/>
      <c r="T346" s="93"/>
      <c r="U346" s="93"/>
      <c r="V346" s="93"/>
      <c r="W346" s="79">
        <v>150000</v>
      </c>
    </row>
    <row r="347" spans="1:23" s="17" customFormat="1" ht="15">
      <c r="A347" s="152" t="s">
        <v>12</v>
      </c>
      <c r="B347" s="153"/>
      <c r="C347" s="154"/>
      <c r="D347" s="150"/>
      <c r="E347" s="162"/>
      <c r="F347" s="163"/>
      <c r="G347" s="150"/>
      <c r="H347" s="61">
        <f>H348</f>
        <v>290000</v>
      </c>
      <c r="I347" s="61">
        <f t="shared" ref="I347:J347" si="141">I348</f>
        <v>140000</v>
      </c>
      <c r="J347" s="61">
        <f t="shared" si="141"/>
        <v>150000</v>
      </c>
      <c r="K347" s="88"/>
      <c r="L347" s="88"/>
      <c r="M347" s="88"/>
      <c r="N347" s="88"/>
      <c r="O347" s="88"/>
      <c r="P347" s="88"/>
      <c r="Q347" s="88"/>
      <c r="R347" s="88"/>
      <c r="S347" s="88"/>
      <c r="T347" s="88"/>
      <c r="U347" s="88"/>
      <c r="V347" s="88"/>
      <c r="W347" s="88"/>
    </row>
    <row r="348" spans="1:23" s="17" customFormat="1" ht="15">
      <c r="A348" s="85"/>
      <c r="B348" s="184" t="s">
        <v>25</v>
      </c>
      <c r="C348" s="185"/>
      <c r="D348" s="150"/>
      <c r="E348" s="162"/>
      <c r="F348" s="163"/>
      <c r="G348" s="150"/>
      <c r="H348" s="61">
        <v>290000</v>
      </c>
      <c r="I348" s="61">
        <v>140000</v>
      </c>
      <c r="J348" s="61">
        <v>150000</v>
      </c>
      <c r="K348" s="88"/>
      <c r="L348" s="88"/>
      <c r="M348" s="88"/>
      <c r="N348" s="88"/>
      <c r="O348" s="88"/>
      <c r="P348" s="88"/>
      <c r="Q348" s="88"/>
      <c r="R348" s="88"/>
      <c r="S348" s="88"/>
      <c r="T348" s="88"/>
      <c r="U348" s="88"/>
      <c r="V348" s="88"/>
      <c r="W348" s="88"/>
    </row>
    <row r="349" spans="1:23" s="17" customFormat="1" ht="15">
      <c r="A349" s="152" t="s">
        <v>4</v>
      </c>
      <c r="B349" s="153"/>
      <c r="C349" s="154"/>
      <c r="D349" s="151"/>
      <c r="E349" s="164"/>
      <c r="F349" s="165"/>
      <c r="G349" s="151"/>
      <c r="H349" s="61"/>
      <c r="I349" s="61"/>
      <c r="J349" s="61"/>
      <c r="K349" s="88"/>
      <c r="L349" s="88"/>
      <c r="M349" s="88"/>
      <c r="N349" s="88"/>
      <c r="O349" s="88"/>
      <c r="P349" s="88"/>
      <c r="Q349" s="88"/>
      <c r="R349" s="88"/>
      <c r="S349" s="88"/>
      <c r="T349" s="88"/>
      <c r="U349" s="88"/>
      <c r="V349" s="88"/>
      <c r="W349" s="88"/>
    </row>
    <row r="350" spans="1:23" ht="45">
      <c r="A350" s="8">
        <v>19</v>
      </c>
      <c r="B350" s="81" t="s">
        <v>288</v>
      </c>
      <c r="C350" s="8" t="s">
        <v>52</v>
      </c>
      <c r="D350" s="178" t="s">
        <v>178</v>
      </c>
      <c r="E350" s="212" t="s">
        <v>29</v>
      </c>
      <c r="F350" s="213"/>
      <c r="G350" s="178" t="s">
        <v>116</v>
      </c>
      <c r="H350" s="59">
        <f>SUM(H351,H353)</f>
        <v>26203949</v>
      </c>
      <c r="I350" s="59">
        <f t="shared" ref="I350:J350" si="142">SUM(I351,I353)</f>
        <v>6771952</v>
      </c>
      <c r="J350" s="59">
        <f t="shared" si="142"/>
        <v>7105498</v>
      </c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78">
        <f>137402+6910430</f>
        <v>7047832</v>
      </c>
    </row>
    <row r="351" spans="1:23" ht="15">
      <c r="A351" s="166" t="s">
        <v>12</v>
      </c>
      <c r="B351" s="167"/>
      <c r="C351" s="168"/>
      <c r="D351" s="170"/>
      <c r="E351" s="214"/>
      <c r="F351" s="215"/>
      <c r="G351" s="170"/>
      <c r="H351" s="57">
        <f>H352</f>
        <v>26203949</v>
      </c>
      <c r="I351" s="57">
        <f t="shared" ref="I351:J351" si="143">I352</f>
        <v>6771952</v>
      </c>
      <c r="J351" s="57">
        <f t="shared" si="143"/>
        <v>7105498</v>
      </c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</row>
    <row r="352" spans="1:23" ht="15">
      <c r="A352" s="18"/>
      <c r="B352" s="197" t="s">
        <v>25</v>
      </c>
      <c r="C352" s="198"/>
      <c r="D352" s="170"/>
      <c r="E352" s="214"/>
      <c r="F352" s="215"/>
      <c r="G352" s="170"/>
      <c r="H352" s="57">
        <v>26203949</v>
      </c>
      <c r="I352" s="57">
        <v>6771952</v>
      </c>
      <c r="J352" s="57">
        <v>7105498</v>
      </c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</row>
    <row r="353" spans="1:23" ht="15">
      <c r="A353" s="166" t="s">
        <v>4</v>
      </c>
      <c r="B353" s="167"/>
      <c r="C353" s="168"/>
      <c r="D353" s="171"/>
      <c r="E353" s="216"/>
      <c r="F353" s="217"/>
      <c r="G353" s="171"/>
      <c r="H353" s="57"/>
      <c r="I353" s="57"/>
      <c r="J353" s="57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</row>
    <row r="354" spans="1:23" s="17" customFormat="1" ht="120">
      <c r="A354" s="69">
        <v>20</v>
      </c>
      <c r="B354" s="69" t="s">
        <v>54</v>
      </c>
      <c r="C354" s="69" t="s">
        <v>53</v>
      </c>
      <c r="D354" s="149" t="s">
        <v>178</v>
      </c>
      <c r="E354" s="172" t="s">
        <v>146</v>
      </c>
      <c r="F354" s="161"/>
      <c r="G354" s="149" t="s">
        <v>116</v>
      </c>
      <c r="H354" s="68">
        <f>SUM(H355:H356)</f>
        <v>48000000</v>
      </c>
      <c r="I354" s="68">
        <f t="shared" ref="I354:O354" si="144">SUM(I355:I356)</f>
        <v>0</v>
      </c>
      <c r="J354" s="68">
        <f t="shared" si="144"/>
        <v>0</v>
      </c>
      <c r="K354" s="68">
        <f t="shared" si="144"/>
        <v>0</v>
      </c>
      <c r="L354" s="68">
        <f t="shared" si="144"/>
        <v>7000000</v>
      </c>
      <c r="M354" s="68">
        <f t="shared" si="144"/>
        <v>13000000</v>
      </c>
      <c r="N354" s="68">
        <f t="shared" si="144"/>
        <v>13000000</v>
      </c>
      <c r="O354" s="68">
        <f t="shared" si="144"/>
        <v>15000000</v>
      </c>
      <c r="P354" s="93"/>
      <c r="Q354" s="93"/>
      <c r="R354" s="93"/>
      <c r="S354" s="93"/>
      <c r="T354" s="93"/>
      <c r="U354" s="93"/>
      <c r="V354" s="93"/>
      <c r="W354" s="79">
        <v>0</v>
      </c>
    </row>
    <row r="355" spans="1:23" s="17" customFormat="1" ht="15">
      <c r="A355" s="152" t="s">
        <v>3</v>
      </c>
      <c r="B355" s="153"/>
      <c r="C355" s="154"/>
      <c r="D355" s="150"/>
      <c r="E355" s="162"/>
      <c r="F355" s="163"/>
      <c r="G355" s="150"/>
      <c r="H355" s="61"/>
      <c r="I355" s="61"/>
      <c r="J355" s="61"/>
      <c r="K355" s="61"/>
      <c r="L355" s="61"/>
      <c r="M355" s="88"/>
      <c r="N355" s="88"/>
      <c r="O355" s="88"/>
      <c r="P355" s="88"/>
      <c r="Q355" s="88"/>
      <c r="R355" s="88"/>
      <c r="S355" s="88"/>
      <c r="T355" s="88"/>
      <c r="U355" s="88"/>
      <c r="V355" s="88"/>
      <c r="W355" s="88"/>
    </row>
    <row r="356" spans="1:23" s="17" customFormat="1" ht="15">
      <c r="A356" s="152" t="s">
        <v>11</v>
      </c>
      <c r="B356" s="153"/>
      <c r="C356" s="154"/>
      <c r="D356" s="150"/>
      <c r="E356" s="162"/>
      <c r="F356" s="163"/>
      <c r="G356" s="150"/>
      <c r="H356" s="61">
        <f>SUM(H357:H358)</f>
        <v>48000000</v>
      </c>
      <c r="I356" s="61">
        <v>0</v>
      </c>
      <c r="J356" s="61">
        <f t="shared" ref="J356:O356" si="145">SUM(J357:J358)</f>
        <v>0</v>
      </c>
      <c r="K356" s="61">
        <f t="shared" si="145"/>
        <v>0</v>
      </c>
      <c r="L356" s="61">
        <f t="shared" si="145"/>
        <v>7000000</v>
      </c>
      <c r="M356" s="61">
        <f t="shared" si="145"/>
        <v>13000000</v>
      </c>
      <c r="N356" s="61">
        <f t="shared" si="145"/>
        <v>13000000</v>
      </c>
      <c r="O356" s="61">
        <f t="shared" si="145"/>
        <v>15000000</v>
      </c>
      <c r="P356" s="88"/>
      <c r="Q356" s="88"/>
      <c r="R356" s="88"/>
      <c r="S356" s="88"/>
      <c r="T356" s="88"/>
      <c r="U356" s="88"/>
      <c r="V356" s="88"/>
      <c r="W356" s="88"/>
    </row>
    <row r="357" spans="1:23" s="17" customFormat="1" ht="15">
      <c r="A357" s="85"/>
      <c r="B357" s="184" t="s">
        <v>25</v>
      </c>
      <c r="C357" s="185"/>
      <c r="D357" s="150"/>
      <c r="E357" s="162"/>
      <c r="F357" s="163"/>
      <c r="G357" s="150"/>
      <c r="H357" s="61">
        <v>40000000</v>
      </c>
      <c r="I357" s="61"/>
      <c r="J357" s="61"/>
      <c r="K357" s="61"/>
      <c r="L357" s="61">
        <v>5000000</v>
      </c>
      <c r="M357" s="61">
        <v>10000000</v>
      </c>
      <c r="N357" s="61">
        <v>10000000</v>
      </c>
      <c r="O357" s="61">
        <v>15000000</v>
      </c>
      <c r="P357" s="88"/>
      <c r="Q357" s="88"/>
      <c r="R357" s="88"/>
      <c r="S357" s="88"/>
      <c r="T357" s="88"/>
      <c r="U357" s="88"/>
      <c r="V357" s="88"/>
      <c r="W357" s="88"/>
    </row>
    <row r="358" spans="1:23" s="17" customFormat="1" ht="15">
      <c r="A358" s="85"/>
      <c r="B358" s="184" t="s">
        <v>26</v>
      </c>
      <c r="C358" s="185"/>
      <c r="D358" s="151"/>
      <c r="E358" s="164"/>
      <c r="F358" s="165"/>
      <c r="G358" s="151"/>
      <c r="H358" s="61">
        <v>8000000</v>
      </c>
      <c r="I358" s="61">
        <v>0</v>
      </c>
      <c r="J358" s="61"/>
      <c r="K358" s="61"/>
      <c r="L358" s="61">
        <v>2000000</v>
      </c>
      <c r="M358" s="88">
        <v>3000000</v>
      </c>
      <c r="N358" s="88">
        <v>3000000</v>
      </c>
      <c r="O358" s="88"/>
      <c r="P358" s="88"/>
      <c r="Q358" s="88"/>
      <c r="R358" s="88"/>
      <c r="S358" s="88"/>
      <c r="T358" s="88"/>
      <c r="U358" s="88"/>
      <c r="V358" s="88"/>
      <c r="W358" s="88"/>
    </row>
    <row r="359" spans="1:23" s="17" customFormat="1" ht="30">
      <c r="A359" s="69">
        <v>21</v>
      </c>
      <c r="B359" s="86" t="s">
        <v>14</v>
      </c>
      <c r="C359" s="69" t="s">
        <v>14</v>
      </c>
      <c r="D359" s="149" t="s">
        <v>178</v>
      </c>
      <c r="E359" s="172" t="s">
        <v>29</v>
      </c>
      <c r="F359" s="161"/>
      <c r="G359" s="149" t="s">
        <v>116</v>
      </c>
      <c r="H359" s="68">
        <f>SUM(H360,H362)</f>
        <v>56691296</v>
      </c>
      <c r="I359" s="68">
        <f>SUM(I360,I362)</f>
        <v>13626336</v>
      </c>
      <c r="J359" s="68">
        <f>SUM(J360,J362)</f>
        <v>12812414</v>
      </c>
      <c r="K359" s="68">
        <f t="shared" ref="K359:L359" si="146">SUM(K360,K362)</f>
        <v>6180000</v>
      </c>
      <c r="L359" s="68">
        <f t="shared" si="146"/>
        <v>6365000</v>
      </c>
      <c r="M359" s="93"/>
      <c r="N359" s="93"/>
      <c r="O359" s="93"/>
      <c r="P359" s="93"/>
      <c r="Q359" s="93"/>
      <c r="R359" s="93"/>
      <c r="S359" s="93"/>
      <c r="T359" s="93"/>
      <c r="U359" s="93"/>
      <c r="V359" s="93"/>
      <c r="W359" s="79">
        <f>4022487+3012513+11510000</f>
        <v>18545000</v>
      </c>
    </row>
    <row r="360" spans="1:23" s="17" customFormat="1" ht="15">
      <c r="A360" s="152" t="s">
        <v>12</v>
      </c>
      <c r="B360" s="153"/>
      <c r="C360" s="154"/>
      <c r="D360" s="150"/>
      <c r="E360" s="162"/>
      <c r="F360" s="163"/>
      <c r="G360" s="150"/>
      <c r="H360" s="61">
        <f>H361</f>
        <v>56691296</v>
      </c>
      <c r="I360" s="61">
        <f>SUM(I361:I361)</f>
        <v>13626336</v>
      </c>
      <c r="J360" s="61">
        <f>SUM(J361:J361)</f>
        <v>12812414</v>
      </c>
      <c r="K360" s="61">
        <f t="shared" ref="K360:L360" si="147">SUM(K361:K361)</f>
        <v>6180000</v>
      </c>
      <c r="L360" s="61">
        <f t="shared" si="147"/>
        <v>6365000</v>
      </c>
      <c r="M360" s="88"/>
      <c r="N360" s="88"/>
      <c r="O360" s="88"/>
      <c r="P360" s="88"/>
      <c r="Q360" s="88"/>
      <c r="R360" s="88"/>
      <c r="S360" s="88"/>
      <c r="T360" s="88"/>
      <c r="U360" s="88"/>
      <c r="V360" s="88"/>
      <c r="W360" s="88"/>
    </row>
    <row r="361" spans="1:23" s="17" customFormat="1" ht="15">
      <c r="A361" s="85"/>
      <c r="B361" s="155" t="s">
        <v>25</v>
      </c>
      <c r="C361" s="156"/>
      <c r="D361" s="150"/>
      <c r="E361" s="162"/>
      <c r="F361" s="163"/>
      <c r="G361" s="150"/>
      <c r="H361" s="61">
        <v>56691296</v>
      </c>
      <c r="I361" s="61">
        <v>13626336</v>
      </c>
      <c r="J361" s="61">
        <v>12812414</v>
      </c>
      <c r="K361" s="61">
        <v>6180000</v>
      </c>
      <c r="L361" s="61">
        <v>6365000</v>
      </c>
      <c r="M361" s="88"/>
      <c r="N361" s="88"/>
      <c r="O361" s="88"/>
      <c r="P361" s="88"/>
      <c r="Q361" s="88"/>
      <c r="R361" s="88"/>
      <c r="S361" s="88"/>
      <c r="T361" s="88"/>
      <c r="U361" s="88"/>
      <c r="V361" s="88"/>
      <c r="W361" s="88"/>
    </row>
    <row r="362" spans="1:23" s="17" customFormat="1" ht="15">
      <c r="A362" s="157" t="s">
        <v>4</v>
      </c>
      <c r="B362" s="158"/>
      <c r="C362" s="159"/>
      <c r="D362" s="151"/>
      <c r="E362" s="164"/>
      <c r="F362" s="165"/>
      <c r="G362" s="151"/>
      <c r="H362" s="61"/>
      <c r="I362" s="61"/>
      <c r="J362" s="61"/>
      <c r="K362" s="61"/>
      <c r="L362" s="61"/>
      <c r="M362" s="88"/>
      <c r="N362" s="88"/>
      <c r="O362" s="88"/>
      <c r="P362" s="88"/>
      <c r="Q362" s="88"/>
      <c r="R362" s="88"/>
      <c r="S362" s="88"/>
      <c r="T362" s="88"/>
      <c r="U362" s="88"/>
      <c r="V362" s="88"/>
      <c r="W362" s="88"/>
    </row>
    <row r="363" spans="1:23" s="17" customFormat="1" ht="45">
      <c r="A363" s="69">
        <v>22</v>
      </c>
      <c r="B363" s="86" t="s">
        <v>141</v>
      </c>
      <c r="C363" s="69" t="s">
        <v>141</v>
      </c>
      <c r="D363" s="149" t="s">
        <v>178</v>
      </c>
      <c r="E363" s="172" t="s">
        <v>142</v>
      </c>
      <c r="F363" s="161"/>
      <c r="G363" s="149" t="s">
        <v>116</v>
      </c>
      <c r="H363" s="68">
        <f>SUM(H364,H366)</f>
        <v>176000</v>
      </c>
      <c r="I363" s="68">
        <f t="shared" ref="I363:J363" si="148">SUM(I364,I366)</f>
        <v>87000</v>
      </c>
      <c r="J363" s="68">
        <f t="shared" si="148"/>
        <v>89000</v>
      </c>
      <c r="K363" s="68"/>
      <c r="L363" s="68"/>
      <c r="M363" s="93"/>
      <c r="N363" s="93"/>
      <c r="O363" s="93"/>
      <c r="P363" s="93"/>
      <c r="Q363" s="93"/>
      <c r="R363" s="93"/>
      <c r="S363" s="93"/>
      <c r="T363" s="93"/>
      <c r="U363" s="93"/>
      <c r="V363" s="93"/>
      <c r="W363" s="79">
        <f>600000-374088-211000</f>
        <v>14912</v>
      </c>
    </row>
    <row r="364" spans="1:23" s="17" customFormat="1" ht="15">
      <c r="A364" s="152" t="s">
        <v>12</v>
      </c>
      <c r="B364" s="153"/>
      <c r="C364" s="154"/>
      <c r="D364" s="150"/>
      <c r="E364" s="162"/>
      <c r="F364" s="163"/>
      <c r="G364" s="150"/>
      <c r="H364" s="61">
        <f>SUM(H365)</f>
        <v>176000</v>
      </c>
      <c r="I364" s="61">
        <f t="shared" ref="I364:J364" si="149">SUM(I365)</f>
        <v>87000</v>
      </c>
      <c r="J364" s="61">
        <f t="shared" si="149"/>
        <v>89000</v>
      </c>
      <c r="K364" s="61"/>
      <c r="L364" s="61"/>
      <c r="M364" s="88"/>
      <c r="N364" s="88"/>
      <c r="O364" s="88"/>
      <c r="P364" s="88"/>
      <c r="Q364" s="88"/>
      <c r="R364" s="88"/>
      <c r="S364" s="88"/>
      <c r="T364" s="88"/>
      <c r="U364" s="88"/>
      <c r="V364" s="88"/>
      <c r="W364" s="88"/>
    </row>
    <row r="365" spans="1:23" s="17" customFormat="1" ht="15">
      <c r="A365" s="85"/>
      <c r="B365" s="155" t="s">
        <v>25</v>
      </c>
      <c r="C365" s="156"/>
      <c r="D365" s="150"/>
      <c r="E365" s="162"/>
      <c r="F365" s="163"/>
      <c r="G365" s="150"/>
      <c r="H365" s="61">
        <v>176000</v>
      </c>
      <c r="I365" s="61">
        <v>87000</v>
      </c>
      <c r="J365" s="61">
        <v>89000</v>
      </c>
      <c r="K365" s="61"/>
      <c r="L365" s="61"/>
      <c r="M365" s="88"/>
      <c r="N365" s="88"/>
      <c r="O365" s="88"/>
      <c r="P365" s="88"/>
      <c r="Q365" s="88"/>
      <c r="R365" s="88"/>
      <c r="S365" s="88"/>
      <c r="T365" s="88"/>
      <c r="U365" s="88"/>
      <c r="V365" s="88"/>
      <c r="W365" s="88"/>
    </row>
    <row r="366" spans="1:23" s="17" customFormat="1" ht="15">
      <c r="A366" s="157" t="s">
        <v>4</v>
      </c>
      <c r="B366" s="158"/>
      <c r="C366" s="159"/>
      <c r="D366" s="151"/>
      <c r="E366" s="164"/>
      <c r="F366" s="165"/>
      <c r="G366" s="151"/>
      <c r="H366" s="61"/>
      <c r="I366" s="61"/>
      <c r="J366" s="61"/>
      <c r="K366" s="61"/>
      <c r="L366" s="61"/>
      <c r="M366" s="88"/>
      <c r="N366" s="88"/>
      <c r="O366" s="88"/>
      <c r="P366" s="88"/>
      <c r="Q366" s="88"/>
      <c r="R366" s="88"/>
      <c r="S366" s="88"/>
      <c r="T366" s="88"/>
      <c r="U366" s="88"/>
      <c r="V366" s="88"/>
      <c r="W366" s="88"/>
    </row>
    <row r="367" spans="1:23" s="17" customFormat="1" ht="60">
      <c r="A367" s="112">
        <v>23</v>
      </c>
      <c r="B367" s="69" t="s">
        <v>188</v>
      </c>
      <c r="C367" s="69" t="s">
        <v>158</v>
      </c>
      <c r="D367" s="149" t="s">
        <v>178</v>
      </c>
      <c r="E367" s="172" t="s">
        <v>142</v>
      </c>
      <c r="F367" s="161"/>
      <c r="G367" s="173" t="s">
        <v>116</v>
      </c>
      <c r="H367" s="91">
        <f t="shared" ref="H367:J367" si="150">SUM(H368:H369)</f>
        <v>371340</v>
      </c>
      <c r="I367" s="91">
        <f t="shared" si="150"/>
        <v>71340</v>
      </c>
      <c r="J367" s="91">
        <f t="shared" si="150"/>
        <v>300000</v>
      </c>
      <c r="K367" s="91"/>
      <c r="L367" s="91"/>
      <c r="M367" s="91"/>
      <c r="N367" s="91"/>
      <c r="O367" s="91"/>
      <c r="P367" s="91"/>
      <c r="Q367" s="91"/>
      <c r="R367" s="91"/>
      <c r="S367" s="91"/>
      <c r="T367" s="91"/>
      <c r="U367" s="91"/>
      <c r="V367" s="91"/>
      <c r="W367" s="91">
        <v>300000</v>
      </c>
    </row>
    <row r="368" spans="1:23" s="17" customFormat="1" ht="15" customHeight="1">
      <c r="A368" s="157" t="s">
        <v>3</v>
      </c>
      <c r="B368" s="158"/>
      <c r="C368" s="159"/>
      <c r="D368" s="150"/>
      <c r="E368" s="162"/>
      <c r="F368" s="163"/>
      <c r="G368" s="174"/>
      <c r="H368" s="61"/>
      <c r="I368" s="61"/>
      <c r="J368" s="61"/>
      <c r="K368" s="61"/>
      <c r="L368" s="61"/>
      <c r="M368" s="61"/>
      <c r="N368" s="61"/>
      <c r="O368" s="61"/>
      <c r="P368" s="61"/>
      <c r="Q368" s="61"/>
      <c r="R368" s="61"/>
      <c r="S368" s="61"/>
      <c r="T368" s="61"/>
      <c r="U368" s="61"/>
      <c r="V368" s="61"/>
      <c r="W368" s="61"/>
    </row>
    <row r="369" spans="1:23" s="17" customFormat="1" ht="15">
      <c r="A369" s="157" t="s">
        <v>11</v>
      </c>
      <c r="B369" s="158"/>
      <c r="C369" s="159"/>
      <c r="D369" s="150"/>
      <c r="E369" s="162"/>
      <c r="F369" s="163"/>
      <c r="G369" s="174"/>
      <c r="H369" s="61">
        <f>SUM(H370:H370)</f>
        <v>371340</v>
      </c>
      <c r="I369" s="61">
        <f>SUM(I370:I370)</f>
        <v>71340</v>
      </c>
      <c r="J369" s="61">
        <f>SUM(J370:J370)</f>
        <v>300000</v>
      </c>
      <c r="K369" s="61"/>
      <c r="L369" s="61"/>
      <c r="M369" s="61"/>
      <c r="N369" s="61"/>
      <c r="O369" s="61"/>
      <c r="P369" s="61"/>
      <c r="Q369" s="61"/>
      <c r="R369" s="61"/>
      <c r="S369" s="61"/>
      <c r="T369" s="61"/>
      <c r="U369" s="61"/>
      <c r="V369" s="61"/>
      <c r="W369" s="61"/>
    </row>
    <row r="370" spans="1:23" s="17" customFormat="1" ht="15">
      <c r="A370" s="85"/>
      <c r="B370" s="184" t="s">
        <v>25</v>
      </c>
      <c r="C370" s="185"/>
      <c r="D370" s="150"/>
      <c r="E370" s="162"/>
      <c r="F370" s="163"/>
      <c r="G370" s="174"/>
      <c r="H370" s="94">
        <v>371340</v>
      </c>
      <c r="I370" s="61">
        <v>71340</v>
      </c>
      <c r="J370" s="61">
        <v>300000</v>
      </c>
      <c r="K370" s="61"/>
      <c r="L370" s="61"/>
      <c r="M370" s="61"/>
      <c r="N370" s="61"/>
      <c r="O370" s="61"/>
      <c r="P370" s="61"/>
      <c r="Q370" s="61"/>
      <c r="R370" s="61"/>
      <c r="S370" s="61"/>
      <c r="T370" s="61"/>
      <c r="U370" s="61"/>
      <c r="V370" s="61"/>
      <c r="W370" s="61"/>
    </row>
    <row r="371" spans="1:23" s="55" customFormat="1" ht="60">
      <c r="A371" s="19">
        <v>24</v>
      </c>
      <c r="B371" s="58" t="s">
        <v>189</v>
      </c>
      <c r="C371" s="58" t="s">
        <v>158</v>
      </c>
      <c r="D371" s="178" t="s">
        <v>178</v>
      </c>
      <c r="E371" s="212" t="s">
        <v>167</v>
      </c>
      <c r="F371" s="213"/>
      <c r="G371" s="209" t="s">
        <v>116</v>
      </c>
      <c r="H371" s="7">
        <f t="shared" ref="H371:K371" si="151">SUM(H372:H373)</f>
        <v>2230000</v>
      </c>
      <c r="I371" s="7">
        <f t="shared" si="151"/>
        <v>1010000</v>
      </c>
      <c r="J371" s="7">
        <f t="shared" si="151"/>
        <v>730000</v>
      </c>
      <c r="K371" s="7">
        <f t="shared" si="151"/>
        <v>490000</v>
      </c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66">
        <v>1220000</v>
      </c>
    </row>
    <row r="372" spans="1:23" s="55" customFormat="1" ht="15" customHeight="1">
      <c r="A372" s="179" t="s">
        <v>3</v>
      </c>
      <c r="B372" s="180"/>
      <c r="C372" s="181"/>
      <c r="D372" s="170"/>
      <c r="E372" s="214"/>
      <c r="F372" s="215"/>
      <c r="G372" s="210"/>
      <c r="H372" s="57"/>
      <c r="I372" s="57"/>
      <c r="J372" s="57"/>
      <c r="K372" s="57"/>
      <c r="L372" s="57"/>
      <c r="M372" s="57"/>
      <c r="N372" s="57"/>
      <c r="O372" s="57"/>
      <c r="P372" s="57"/>
      <c r="Q372" s="57"/>
      <c r="R372" s="57"/>
      <c r="S372" s="57"/>
      <c r="T372" s="57"/>
      <c r="U372" s="57"/>
      <c r="V372" s="57"/>
      <c r="W372" s="24"/>
    </row>
    <row r="373" spans="1:23" s="55" customFormat="1" ht="15">
      <c r="A373" s="179" t="s">
        <v>11</v>
      </c>
      <c r="B373" s="180"/>
      <c r="C373" s="181"/>
      <c r="D373" s="170"/>
      <c r="E373" s="214"/>
      <c r="F373" s="215"/>
      <c r="G373" s="210"/>
      <c r="H373" s="57">
        <f>SUM(H374:H374)</f>
        <v>2230000</v>
      </c>
      <c r="I373" s="57">
        <f>SUM(I374:I374)</f>
        <v>1010000</v>
      </c>
      <c r="J373" s="57">
        <f>SUM(J374:J374)</f>
        <v>730000</v>
      </c>
      <c r="K373" s="57">
        <f>SUM(K374:K374)</f>
        <v>490000</v>
      </c>
      <c r="L373" s="57"/>
      <c r="M373" s="57"/>
      <c r="N373" s="57"/>
      <c r="O373" s="57"/>
      <c r="P373" s="57"/>
      <c r="Q373" s="57"/>
      <c r="R373" s="57"/>
      <c r="S373" s="57"/>
      <c r="T373" s="57"/>
      <c r="U373" s="57"/>
      <c r="V373" s="57"/>
      <c r="W373" s="24"/>
    </row>
    <row r="374" spans="1:23" s="55" customFormat="1" ht="15">
      <c r="A374" s="63"/>
      <c r="B374" s="197" t="s">
        <v>25</v>
      </c>
      <c r="C374" s="198"/>
      <c r="D374" s="170"/>
      <c r="E374" s="214"/>
      <c r="F374" s="215"/>
      <c r="G374" s="210"/>
      <c r="H374" s="3">
        <v>2230000</v>
      </c>
      <c r="I374" s="57">
        <v>1010000</v>
      </c>
      <c r="J374" s="57">
        <v>730000</v>
      </c>
      <c r="K374" s="57">
        <v>490000</v>
      </c>
      <c r="L374" s="57"/>
      <c r="M374" s="57"/>
      <c r="N374" s="57"/>
      <c r="O374" s="57"/>
      <c r="P374" s="57"/>
      <c r="Q374" s="57"/>
      <c r="R374" s="57"/>
      <c r="S374" s="57"/>
      <c r="T374" s="57"/>
      <c r="U374" s="57"/>
      <c r="V374" s="57"/>
      <c r="W374" s="24"/>
    </row>
    <row r="375" spans="1:23" s="17" customFormat="1" ht="111.75" customHeight="1">
      <c r="A375" s="69">
        <v>25</v>
      </c>
      <c r="B375" s="69" t="s">
        <v>150</v>
      </c>
      <c r="C375" s="69" t="s">
        <v>151</v>
      </c>
      <c r="D375" s="149" t="s">
        <v>182</v>
      </c>
      <c r="E375" s="172" t="s">
        <v>34</v>
      </c>
      <c r="F375" s="161"/>
      <c r="G375" s="149" t="s">
        <v>152</v>
      </c>
      <c r="H375" s="68">
        <f>SUM(H376,H378)</f>
        <v>1400000</v>
      </c>
      <c r="I375" s="68">
        <f t="shared" ref="I375:J375" si="152">SUM(I376,I378)</f>
        <v>156000</v>
      </c>
      <c r="J375" s="68">
        <f t="shared" si="152"/>
        <v>1144000</v>
      </c>
      <c r="K375" s="68"/>
      <c r="L375" s="68"/>
      <c r="M375" s="93"/>
      <c r="N375" s="93"/>
      <c r="O375" s="93"/>
      <c r="P375" s="93"/>
      <c r="Q375" s="93"/>
      <c r="R375" s="93"/>
      <c r="S375" s="93"/>
      <c r="T375" s="93"/>
      <c r="U375" s="93"/>
      <c r="V375" s="93"/>
      <c r="W375" s="79">
        <f>1300000-1300000+1144000</f>
        <v>1144000</v>
      </c>
    </row>
    <row r="376" spans="1:23" s="17" customFormat="1" ht="15">
      <c r="A376" s="152" t="s">
        <v>12</v>
      </c>
      <c r="B376" s="153"/>
      <c r="C376" s="154"/>
      <c r="D376" s="150"/>
      <c r="E376" s="162"/>
      <c r="F376" s="163"/>
      <c r="G376" s="150"/>
      <c r="H376" s="61">
        <f>H377</f>
        <v>1400000</v>
      </c>
      <c r="I376" s="61">
        <f t="shared" ref="I376:J376" si="153">I377</f>
        <v>156000</v>
      </c>
      <c r="J376" s="61">
        <f t="shared" si="153"/>
        <v>1144000</v>
      </c>
      <c r="K376" s="61"/>
      <c r="L376" s="61"/>
      <c r="M376" s="88"/>
      <c r="N376" s="88"/>
      <c r="O376" s="88"/>
      <c r="P376" s="88"/>
      <c r="Q376" s="88"/>
      <c r="R376" s="88"/>
      <c r="S376" s="88"/>
      <c r="T376" s="88"/>
      <c r="U376" s="88"/>
      <c r="V376" s="88"/>
      <c r="W376" s="88"/>
    </row>
    <row r="377" spans="1:23" s="17" customFormat="1" ht="15">
      <c r="A377" s="85"/>
      <c r="B377" s="155" t="s">
        <v>25</v>
      </c>
      <c r="C377" s="156"/>
      <c r="D377" s="150"/>
      <c r="E377" s="162"/>
      <c r="F377" s="163"/>
      <c r="G377" s="150"/>
      <c r="H377" s="61">
        <v>1400000</v>
      </c>
      <c r="I377" s="61">
        <v>156000</v>
      </c>
      <c r="J377" s="61">
        <v>1144000</v>
      </c>
      <c r="K377" s="61"/>
      <c r="L377" s="61"/>
      <c r="M377" s="88"/>
      <c r="N377" s="88"/>
      <c r="O377" s="88"/>
      <c r="P377" s="88"/>
      <c r="Q377" s="88"/>
      <c r="R377" s="88"/>
      <c r="S377" s="88"/>
      <c r="T377" s="88"/>
      <c r="U377" s="88"/>
      <c r="V377" s="88"/>
      <c r="W377" s="88"/>
    </row>
    <row r="378" spans="1:23" s="17" customFormat="1" ht="15">
      <c r="A378" s="157" t="s">
        <v>4</v>
      </c>
      <c r="B378" s="158"/>
      <c r="C378" s="159"/>
      <c r="D378" s="151"/>
      <c r="E378" s="164"/>
      <c r="F378" s="165"/>
      <c r="G378" s="151"/>
      <c r="H378" s="61"/>
      <c r="I378" s="61"/>
      <c r="J378" s="61"/>
      <c r="K378" s="61"/>
      <c r="L378" s="61"/>
      <c r="M378" s="88"/>
      <c r="N378" s="88"/>
      <c r="O378" s="88"/>
      <c r="P378" s="88"/>
      <c r="Q378" s="88"/>
      <c r="R378" s="88"/>
      <c r="S378" s="88"/>
      <c r="T378" s="88"/>
      <c r="U378" s="88"/>
      <c r="V378" s="88"/>
      <c r="W378" s="88"/>
    </row>
    <row r="379" spans="1:23" s="17" customFormat="1" ht="111.75" customHeight="1">
      <c r="A379" s="69">
        <v>26</v>
      </c>
      <c r="B379" s="86" t="s">
        <v>306</v>
      </c>
      <c r="C379" s="86" t="s">
        <v>307</v>
      </c>
      <c r="D379" s="149" t="s">
        <v>182</v>
      </c>
      <c r="E379" s="160" t="s">
        <v>308</v>
      </c>
      <c r="F379" s="161"/>
      <c r="G379" s="149" t="s">
        <v>152</v>
      </c>
      <c r="H379" s="68">
        <f>SUM(H380,H382)</f>
        <v>1400000</v>
      </c>
      <c r="I379" s="68">
        <f t="shared" ref="I379:J379" si="154">SUM(I380,I382)</f>
        <v>0</v>
      </c>
      <c r="J379" s="68">
        <f t="shared" si="154"/>
        <v>400000</v>
      </c>
      <c r="K379" s="68">
        <f t="shared" ref="K379:L379" si="155">SUM(K380,K382)</f>
        <v>500000</v>
      </c>
      <c r="L379" s="68">
        <f t="shared" si="155"/>
        <v>500000</v>
      </c>
      <c r="M379" s="93"/>
      <c r="N379" s="93"/>
      <c r="O379" s="93"/>
      <c r="P379" s="93"/>
      <c r="Q379" s="93"/>
      <c r="R379" s="93"/>
      <c r="S379" s="93"/>
      <c r="T379" s="93"/>
      <c r="U379" s="93"/>
      <c r="V379" s="93"/>
      <c r="W379" s="79">
        <v>1400000</v>
      </c>
    </row>
    <row r="380" spans="1:23" s="17" customFormat="1" ht="15">
      <c r="A380" s="152" t="s">
        <v>12</v>
      </c>
      <c r="B380" s="153"/>
      <c r="C380" s="154"/>
      <c r="D380" s="150"/>
      <c r="E380" s="162"/>
      <c r="F380" s="163"/>
      <c r="G380" s="150"/>
      <c r="H380" s="61">
        <f>H381</f>
        <v>1400000</v>
      </c>
      <c r="I380" s="61">
        <f t="shared" ref="I380:L380" si="156">I381</f>
        <v>0</v>
      </c>
      <c r="J380" s="61">
        <f t="shared" si="156"/>
        <v>400000</v>
      </c>
      <c r="K380" s="61">
        <f t="shared" si="156"/>
        <v>500000</v>
      </c>
      <c r="L380" s="61">
        <f t="shared" si="156"/>
        <v>500000</v>
      </c>
      <c r="M380" s="88"/>
      <c r="N380" s="88"/>
      <c r="O380" s="88"/>
      <c r="P380" s="88"/>
      <c r="Q380" s="88"/>
      <c r="R380" s="88"/>
      <c r="S380" s="88"/>
      <c r="T380" s="88"/>
      <c r="U380" s="88"/>
      <c r="V380" s="88"/>
      <c r="W380" s="88"/>
    </row>
    <row r="381" spans="1:23" s="17" customFormat="1" ht="15">
      <c r="A381" s="85"/>
      <c r="B381" s="155" t="s">
        <v>25</v>
      </c>
      <c r="C381" s="156"/>
      <c r="D381" s="150"/>
      <c r="E381" s="162"/>
      <c r="F381" s="163"/>
      <c r="G381" s="150"/>
      <c r="H381" s="61">
        <v>1400000</v>
      </c>
      <c r="I381" s="61"/>
      <c r="J381" s="61">
        <v>400000</v>
      </c>
      <c r="K381" s="61">
        <v>500000</v>
      </c>
      <c r="L381" s="61">
        <v>500000</v>
      </c>
      <c r="M381" s="88"/>
      <c r="N381" s="88"/>
      <c r="O381" s="88"/>
      <c r="P381" s="88"/>
      <c r="Q381" s="88"/>
      <c r="R381" s="88"/>
      <c r="S381" s="88"/>
      <c r="T381" s="88"/>
      <c r="U381" s="88"/>
      <c r="V381" s="88"/>
      <c r="W381" s="88"/>
    </row>
    <row r="382" spans="1:23" s="17" customFormat="1" ht="15">
      <c r="A382" s="157" t="s">
        <v>4</v>
      </c>
      <c r="B382" s="158"/>
      <c r="C382" s="159"/>
      <c r="D382" s="151"/>
      <c r="E382" s="164"/>
      <c r="F382" s="165"/>
      <c r="G382" s="151"/>
      <c r="H382" s="61"/>
      <c r="I382" s="61"/>
      <c r="J382" s="61"/>
      <c r="K382" s="61"/>
      <c r="L382" s="61"/>
      <c r="M382" s="88"/>
      <c r="N382" s="88"/>
      <c r="O382" s="88"/>
      <c r="P382" s="88"/>
      <c r="Q382" s="88"/>
      <c r="R382" s="88"/>
      <c r="S382" s="88"/>
      <c r="T382" s="88"/>
      <c r="U382" s="88"/>
      <c r="V382" s="88"/>
      <c r="W382" s="88"/>
    </row>
    <row r="383" spans="1:23" s="17" customFormat="1" ht="108" customHeight="1">
      <c r="A383" s="69">
        <v>27</v>
      </c>
      <c r="B383" s="69" t="s">
        <v>76</v>
      </c>
      <c r="C383" s="69" t="s">
        <v>75</v>
      </c>
      <c r="D383" s="149" t="s">
        <v>145</v>
      </c>
      <c r="E383" s="172" t="s">
        <v>37</v>
      </c>
      <c r="F383" s="161"/>
      <c r="G383" s="149" t="s">
        <v>119</v>
      </c>
      <c r="H383" s="68">
        <f>SUM(H384,H386)</f>
        <v>129265930</v>
      </c>
      <c r="I383" s="68">
        <f>SUM(I384,I386)</f>
        <v>21500000</v>
      </c>
      <c r="J383" s="68">
        <f t="shared" ref="J383:L383" si="157">SUM(J384,J386)</f>
        <v>23000000</v>
      </c>
      <c r="K383" s="68">
        <f t="shared" si="157"/>
        <v>16002161</v>
      </c>
      <c r="L383" s="68">
        <f t="shared" si="157"/>
        <v>10940091</v>
      </c>
      <c r="M383" s="93"/>
      <c r="N383" s="93"/>
      <c r="O383" s="93"/>
      <c r="P383" s="93"/>
      <c r="Q383" s="93"/>
      <c r="R383" s="93"/>
      <c r="S383" s="93"/>
      <c r="T383" s="93"/>
      <c r="U383" s="93"/>
      <c r="V383" s="93"/>
      <c r="W383" s="79">
        <v>49942252</v>
      </c>
    </row>
    <row r="384" spans="1:23" s="17" customFormat="1" ht="15">
      <c r="A384" s="152" t="s">
        <v>12</v>
      </c>
      <c r="B384" s="153"/>
      <c r="C384" s="154"/>
      <c r="D384" s="150"/>
      <c r="E384" s="162"/>
      <c r="F384" s="163"/>
      <c r="G384" s="150"/>
      <c r="H384" s="61">
        <f>H385</f>
        <v>119799940</v>
      </c>
      <c r="I384" s="61">
        <f t="shared" ref="I384:L384" si="158">I385</f>
        <v>20800000</v>
      </c>
      <c r="J384" s="61">
        <f t="shared" si="158"/>
        <v>22508000</v>
      </c>
      <c r="K384" s="61">
        <f t="shared" si="158"/>
        <v>15481160</v>
      </c>
      <c r="L384" s="61">
        <f t="shared" si="158"/>
        <v>10400594</v>
      </c>
      <c r="M384" s="88"/>
      <c r="N384" s="88"/>
      <c r="O384" s="88"/>
      <c r="P384" s="88"/>
      <c r="Q384" s="88"/>
      <c r="R384" s="88"/>
      <c r="S384" s="88"/>
      <c r="T384" s="88"/>
      <c r="U384" s="88"/>
      <c r="V384" s="88"/>
      <c r="W384" s="88"/>
    </row>
    <row r="385" spans="1:23" s="17" customFormat="1" ht="15">
      <c r="A385" s="85"/>
      <c r="B385" s="184" t="s">
        <v>24</v>
      </c>
      <c r="C385" s="185"/>
      <c r="D385" s="150"/>
      <c r="E385" s="162"/>
      <c r="F385" s="163"/>
      <c r="G385" s="150"/>
      <c r="H385" s="61">
        <v>119799940</v>
      </c>
      <c r="I385" s="61">
        <v>20800000</v>
      </c>
      <c r="J385" s="61">
        <v>22508000</v>
      </c>
      <c r="K385" s="61">
        <v>15481160</v>
      </c>
      <c r="L385" s="61">
        <f>15481160-5080566</f>
        <v>10400594</v>
      </c>
      <c r="M385" s="88"/>
      <c r="N385" s="88"/>
      <c r="O385" s="88"/>
      <c r="P385" s="88"/>
      <c r="Q385" s="88"/>
      <c r="R385" s="88"/>
      <c r="S385" s="88"/>
      <c r="T385" s="88"/>
      <c r="U385" s="88"/>
      <c r="V385" s="88"/>
      <c r="W385" s="88"/>
    </row>
    <row r="386" spans="1:23" s="17" customFormat="1" ht="15">
      <c r="A386" s="152" t="s">
        <v>11</v>
      </c>
      <c r="B386" s="153"/>
      <c r="C386" s="154"/>
      <c r="D386" s="150"/>
      <c r="E386" s="162"/>
      <c r="F386" s="163"/>
      <c r="G386" s="150"/>
      <c r="H386" s="61">
        <f>H387</f>
        <v>9465990</v>
      </c>
      <c r="I386" s="61">
        <f t="shared" ref="I386:L386" si="159">I387</f>
        <v>700000</v>
      </c>
      <c r="J386" s="61">
        <f t="shared" si="159"/>
        <v>492000</v>
      </c>
      <c r="K386" s="61">
        <f t="shared" si="159"/>
        <v>521001</v>
      </c>
      <c r="L386" s="61">
        <f t="shared" si="159"/>
        <v>539497</v>
      </c>
      <c r="M386" s="88"/>
      <c r="N386" s="88"/>
      <c r="O386" s="88"/>
      <c r="P386" s="88"/>
      <c r="Q386" s="88"/>
      <c r="R386" s="88"/>
      <c r="S386" s="88"/>
      <c r="T386" s="88"/>
      <c r="U386" s="88"/>
      <c r="V386" s="88"/>
      <c r="W386" s="88"/>
    </row>
    <row r="387" spans="1:23" s="17" customFormat="1" ht="15">
      <c r="A387" s="85"/>
      <c r="B387" s="184" t="s">
        <v>24</v>
      </c>
      <c r="C387" s="185"/>
      <c r="D387" s="151"/>
      <c r="E387" s="164"/>
      <c r="F387" s="165"/>
      <c r="G387" s="151"/>
      <c r="H387" s="61">
        <v>9465990</v>
      </c>
      <c r="I387" s="61">
        <v>700000</v>
      </c>
      <c r="J387" s="61">
        <v>492000</v>
      </c>
      <c r="K387" s="61">
        <v>521001</v>
      </c>
      <c r="L387" s="61">
        <f>521001+18496</f>
        <v>539497</v>
      </c>
      <c r="M387" s="88"/>
      <c r="N387" s="88"/>
      <c r="O387" s="88"/>
      <c r="P387" s="88"/>
      <c r="Q387" s="88"/>
      <c r="R387" s="88"/>
      <c r="S387" s="88"/>
      <c r="T387" s="88"/>
      <c r="U387" s="88"/>
      <c r="V387" s="88"/>
      <c r="W387" s="88"/>
    </row>
    <row r="388" spans="1:23" s="17" customFormat="1" ht="105">
      <c r="A388" s="69">
        <v>28</v>
      </c>
      <c r="B388" s="69" t="s">
        <v>80</v>
      </c>
      <c r="C388" s="69" t="s">
        <v>81</v>
      </c>
      <c r="D388" s="222" t="s">
        <v>145</v>
      </c>
      <c r="E388" s="172" t="s">
        <v>36</v>
      </c>
      <c r="F388" s="161"/>
      <c r="G388" s="149" t="s">
        <v>121</v>
      </c>
      <c r="H388" s="68">
        <f>SUM(H389,H391)</f>
        <v>23961500</v>
      </c>
      <c r="I388" s="68">
        <f t="shared" ref="I388:K388" si="160">SUM(I389,I391)</f>
        <v>7500000</v>
      </c>
      <c r="J388" s="68">
        <f t="shared" si="160"/>
        <v>6000000</v>
      </c>
      <c r="K388" s="68">
        <f t="shared" si="160"/>
        <v>6000000</v>
      </c>
      <c r="L388" s="68"/>
      <c r="M388" s="93"/>
      <c r="N388" s="93"/>
      <c r="O388" s="93"/>
      <c r="P388" s="93"/>
      <c r="Q388" s="93"/>
      <c r="R388" s="93"/>
      <c r="S388" s="93"/>
      <c r="T388" s="93"/>
      <c r="U388" s="93"/>
      <c r="V388" s="93"/>
      <c r="W388" s="79">
        <f>18000000-18000000</f>
        <v>0</v>
      </c>
    </row>
    <row r="389" spans="1:23" s="17" customFormat="1" ht="15">
      <c r="A389" s="283" t="s">
        <v>12</v>
      </c>
      <c r="B389" s="153"/>
      <c r="C389" s="154"/>
      <c r="D389" s="223"/>
      <c r="E389" s="162"/>
      <c r="F389" s="163"/>
      <c r="G389" s="150"/>
      <c r="H389" s="61">
        <f>H390</f>
        <v>23961500</v>
      </c>
      <c r="I389" s="61">
        <f t="shared" ref="I389:K389" si="161">I390</f>
        <v>7500000</v>
      </c>
      <c r="J389" s="61">
        <f t="shared" si="161"/>
        <v>6000000</v>
      </c>
      <c r="K389" s="61">
        <f t="shared" si="161"/>
        <v>6000000</v>
      </c>
      <c r="L389" s="61"/>
      <c r="M389" s="88"/>
      <c r="N389" s="88"/>
      <c r="O389" s="88"/>
      <c r="P389" s="88"/>
      <c r="Q389" s="88"/>
      <c r="R389" s="88"/>
      <c r="S389" s="88"/>
      <c r="T389" s="88"/>
      <c r="U389" s="88"/>
      <c r="V389" s="88"/>
      <c r="W389" s="88"/>
    </row>
    <row r="390" spans="1:23" s="17" customFormat="1" ht="15">
      <c r="A390" s="96"/>
      <c r="B390" s="184" t="s">
        <v>25</v>
      </c>
      <c r="C390" s="185"/>
      <c r="D390" s="223"/>
      <c r="E390" s="162"/>
      <c r="F390" s="163"/>
      <c r="G390" s="150"/>
      <c r="H390" s="61">
        <f>24000000-38500</f>
        <v>23961500</v>
      </c>
      <c r="I390" s="61">
        <v>7500000</v>
      </c>
      <c r="J390" s="61">
        <v>6000000</v>
      </c>
      <c r="K390" s="61">
        <v>6000000</v>
      </c>
      <c r="L390" s="61"/>
      <c r="M390" s="88"/>
      <c r="N390" s="88"/>
      <c r="O390" s="88"/>
      <c r="P390" s="88"/>
      <c r="Q390" s="88"/>
      <c r="R390" s="88"/>
      <c r="S390" s="88"/>
      <c r="T390" s="88"/>
      <c r="U390" s="88"/>
      <c r="V390" s="88"/>
      <c r="W390" s="88"/>
    </row>
    <row r="391" spans="1:23" s="17" customFormat="1" ht="15">
      <c r="A391" s="221" t="s">
        <v>4</v>
      </c>
      <c r="B391" s="153"/>
      <c r="C391" s="154"/>
      <c r="D391" s="224"/>
      <c r="E391" s="164"/>
      <c r="F391" s="165"/>
      <c r="G391" s="151"/>
      <c r="H391" s="61"/>
      <c r="I391" s="61"/>
      <c r="J391" s="61"/>
      <c r="K391" s="61"/>
      <c r="L391" s="61"/>
      <c r="M391" s="88"/>
      <c r="N391" s="88"/>
      <c r="O391" s="88"/>
      <c r="P391" s="88"/>
      <c r="Q391" s="88"/>
      <c r="R391" s="88"/>
      <c r="S391" s="88"/>
      <c r="T391" s="88"/>
      <c r="U391" s="88"/>
      <c r="V391" s="88"/>
      <c r="W391" s="88"/>
    </row>
    <row r="392" spans="1:23" s="17" customFormat="1" ht="111.75" customHeight="1">
      <c r="A392" s="69">
        <v>29</v>
      </c>
      <c r="B392" s="86" t="s">
        <v>277</v>
      </c>
      <c r="C392" s="86" t="s">
        <v>81</v>
      </c>
      <c r="D392" s="190" t="s">
        <v>145</v>
      </c>
      <c r="E392" s="160" t="s">
        <v>270</v>
      </c>
      <c r="F392" s="161"/>
      <c r="G392" s="190" t="s">
        <v>121</v>
      </c>
      <c r="H392" s="68">
        <f>SUM(H393,H395)</f>
        <v>13300000</v>
      </c>
      <c r="I392" s="68">
        <f t="shared" ref="I392:N392" si="162">SUM(I393,I395)</f>
        <v>0</v>
      </c>
      <c r="J392" s="68">
        <f>SUM(J393,J395)</f>
        <v>6773000</v>
      </c>
      <c r="K392" s="68">
        <f t="shared" si="162"/>
        <v>1631750</v>
      </c>
      <c r="L392" s="68">
        <f t="shared" si="162"/>
        <v>1631750</v>
      </c>
      <c r="M392" s="68">
        <f t="shared" si="162"/>
        <v>1631750</v>
      </c>
      <c r="N392" s="68">
        <f t="shared" si="162"/>
        <v>1631750</v>
      </c>
      <c r="O392" s="93"/>
      <c r="P392" s="93"/>
      <c r="Q392" s="93"/>
      <c r="R392" s="93"/>
      <c r="S392" s="93"/>
      <c r="T392" s="93"/>
      <c r="U392" s="93"/>
      <c r="V392" s="93"/>
      <c r="W392" s="79">
        <f>10200000+3100000</f>
        <v>13300000</v>
      </c>
    </row>
    <row r="393" spans="1:23" s="17" customFormat="1" ht="15">
      <c r="A393" s="152" t="s">
        <v>12</v>
      </c>
      <c r="B393" s="153"/>
      <c r="C393" s="154"/>
      <c r="D393" s="150"/>
      <c r="E393" s="162"/>
      <c r="F393" s="163"/>
      <c r="G393" s="150"/>
      <c r="H393" s="61">
        <f>H394</f>
        <v>13300000</v>
      </c>
      <c r="I393" s="61">
        <f t="shared" ref="I393:N393" si="163">I394</f>
        <v>0</v>
      </c>
      <c r="J393" s="61">
        <f t="shared" si="163"/>
        <v>6773000</v>
      </c>
      <c r="K393" s="61">
        <f t="shared" si="163"/>
        <v>1631750</v>
      </c>
      <c r="L393" s="61">
        <f t="shared" si="163"/>
        <v>1631750</v>
      </c>
      <c r="M393" s="61">
        <f t="shared" si="163"/>
        <v>1631750</v>
      </c>
      <c r="N393" s="61">
        <f t="shared" si="163"/>
        <v>1631750</v>
      </c>
      <c r="O393" s="88"/>
      <c r="P393" s="88"/>
      <c r="Q393" s="88"/>
      <c r="R393" s="88"/>
      <c r="S393" s="88"/>
      <c r="T393" s="88"/>
      <c r="U393" s="88"/>
      <c r="V393" s="88"/>
      <c r="W393" s="88"/>
    </row>
    <row r="394" spans="1:23" s="17" customFormat="1" ht="15">
      <c r="A394" s="85"/>
      <c r="B394" s="155" t="s">
        <v>25</v>
      </c>
      <c r="C394" s="156"/>
      <c r="D394" s="150"/>
      <c r="E394" s="162"/>
      <c r="F394" s="163"/>
      <c r="G394" s="150"/>
      <c r="H394" s="61">
        <v>13300000</v>
      </c>
      <c r="I394" s="61">
        <v>0</v>
      </c>
      <c r="J394" s="61">
        <v>6773000</v>
      </c>
      <c r="K394" s="61">
        <v>1631750</v>
      </c>
      <c r="L394" s="61">
        <v>1631750</v>
      </c>
      <c r="M394" s="132">
        <v>1631750</v>
      </c>
      <c r="N394" s="132">
        <v>1631750</v>
      </c>
      <c r="O394" s="88"/>
      <c r="P394" s="88"/>
      <c r="Q394" s="88"/>
      <c r="R394" s="88"/>
      <c r="S394" s="88"/>
      <c r="T394" s="88"/>
      <c r="U394" s="88"/>
      <c r="V394" s="88"/>
      <c r="W394" s="88"/>
    </row>
    <row r="395" spans="1:23" s="17" customFormat="1" ht="15">
      <c r="A395" s="157" t="s">
        <v>4</v>
      </c>
      <c r="B395" s="158"/>
      <c r="C395" s="159"/>
      <c r="D395" s="151"/>
      <c r="E395" s="164"/>
      <c r="F395" s="165"/>
      <c r="G395" s="151"/>
      <c r="H395" s="61"/>
      <c r="I395" s="61"/>
      <c r="J395" s="61"/>
      <c r="K395" s="61"/>
      <c r="L395" s="61"/>
      <c r="M395" s="88"/>
      <c r="N395" s="88"/>
      <c r="O395" s="88"/>
      <c r="P395" s="88"/>
      <c r="Q395" s="88"/>
      <c r="R395" s="88"/>
      <c r="S395" s="88"/>
      <c r="T395" s="88"/>
      <c r="U395" s="88"/>
      <c r="V395" s="88"/>
      <c r="W395" s="88"/>
    </row>
    <row r="396" spans="1:23" ht="155.25" customHeight="1">
      <c r="A396" s="8">
        <v>30</v>
      </c>
      <c r="B396" s="8" t="s">
        <v>78</v>
      </c>
      <c r="C396" s="8" t="s">
        <v>79</v>
      </c>
      <c r="D396" s="169" t="s">
        <v>145</v>
      </c>
      <c r="E396" s="212" t="s">
        <v>29</v>
      </c>
      <c r="F396" s="213"/>
      <c r="G396" s="178" t="s">
        <v>127</v>
      </c>
      <c r="H396" s="59">
        <f>SUM(H397:H398)</f>
        <v>14302800</v>
      </c>
      <c r="I396" s="59">
        <f t="shared" ref="I396:J396" si="164">SUM(I397:I398)</f>
        <v>3881000</v>
      </c>
      <c r="J396" s="59">
        <f t="shared" si="164"/>
        <v>1873000</v>
      </c>
      <c r="K396" s="59"/>
      <c r="L396" s="5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78">
        <v>0</v>
      </c>
    </row>
    <row r="397" spans="1:23" ht="15">
      <c r="A397" s="166" t="s">
        <v>3</v>
      </c>
      <c r="B397" s="167"/>
      <c r="C397" s="168"/>
      <c r="D397" s="170"/>
      <c r="E397" s="214"/>
      <c r="F397" s="215"/>
      <c r="G397" s="170"/>
      <c r="H397" s="57"/>
      <c r="I397" s="57"/>
      <c r="J397" s="57"/>
      <c r="K397" s="57"/>
      <c r="L397" s="57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</row>
    <row r="398" spans="1:23" ht="15">
      <c r="A398" s="166" t="s">
        <v>11</v>
      </c>
      <c r="B398" s="167"/>
      <c r="C398" s="168"/>
      <c r="D398" s="170"/>
      <c r="E398" s="214"/>
      <c r="F398" s="215"/>
      <c r="G398" s="170"/>
      <c r="H398" s="57">
        <f>H399</f>
        <v>14302800</v>
      </c>
      <c r="I398" s="57">
        <f t="shared" ref="I398:J398" si="165">I399</f>
        <v>3881000</v>
      </c>
      <c r="J398" s="57">
        <f t="shared" si="165"/>
        <v>1873000</v>
      </c>
      <c r="K398" s="57"/>
      <c r="L398" s="57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</row>
    <row r="399" spans="1:23" ht="15">
      <c r="A399" s="13"/>
      <c r="B399" s="197" t="s">
        <v>25</v>
      </c>
      <c r="C399" s="198"/>
      <c r="D399" s="171"/>
      <c r="E399" s="216"/>
      <c r="F399" s="217"/>
      <c r="G399" s="171"/>
      <c r="H399" s="57">
        <v>14302800</v>
      </c>
      <c r="I399" s="57">
        <v>3881000</v>
      </c>
      <c r="J399" s="57">
        <v>1873000</v>
      </c>
      <c r="K399" s="57"/>
      <c r="L399" s="57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</row>
    <row r="400" spans="1:23" ht="123.75" customHeight="1">
      <c r="A400" s="8">
        <v>31</v>
      </c>
      <c r="B400" s="8" t="s">
        <v>82</v>
      </c>
      <c r="C400" s="81" t="s">
        <v>284</v>
      </c>
      <c r="D400" s="178" t="s">
        <v>145</v>
      </c>
      <c r="E400" s="212" t="s">
        <v>29</v>
      </c>
      <c r="F400" s="213"/>
      <c r="G400" s="178" t="s">
        <v>127</v>
      </c>
      <c r="H400" s="59">
        <f>SUM(H401,H403)</f>
        <v>76500</v>
      </c>
      <c r="I400" s="59">
        <f t="shared" ref="I400:J400" si="166">SUM(I401,I403)</f>
        <v>20000</v>
      </c>
      <c r="J400" s="59">
        <f t="shared" si="166"/>
        <v>20000</v>
      </c>
      <c r="K400" s="59"/>
      <c r="L400" s="5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78">
        <v>20000</v>
      </c>
    </row>
    <row r="401" spans="1:23" ht="15">
      <c r="A401" s="166" t="s">
        <v>12</v>
      </c>
      <c r="B401" s="167"/>
      <c r="C401" s="168"/>
      <c r="D401" s="170"/>
      <c r="E401" s="214"/>
      <c r="F401" s="215"/>
      <c r="G401" s="170"/>
      <c r="H401" s="57">
        <f>H402</f>
        <v>76500</v>
      </c>
      <c r="I401" s="57">
        <f t="shared" ref="I401:J401" si="167">I402</f>
        <v>20000</v>
      </c>
      <c r="J401" s="57">
        <f t="shared" si="167"/>
        <v>20000</v>
      </c>
      <c r="K401" s="57"/>
      <c r="L401" s="57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</row>
    <row r="402" spans="1:23" ht="15">
      <c r="A402" s="13"/>
      <c r="B402" s="197" t="s">
        <v>25</v>
      </c>
      <c r="C402" s="198"/>
      <c r="D402" s="170"/>
      <c r="E402" s="214"/>
      <c r="F402" s="215"/>
      <c r="G402" s="170"/>
      <c r="H402" s="57">
        <v>76500</v>
      </c>
      <c r="I402" s="57">
        <v>20000</v>
      </c>
      <c r="J402" s="57">
        <v>20000</v>
      </c>
      <c r="K402" s="57"/>
      <c r="L402" s="57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</row>
    <row r="403" spans="1:23" ht="15">
      <c r="A403" s="166" t="s">
        <v>4</v>
      </c>
      <c r="B403" s="167"/>
      <c r="C403" s="168"/>
      <c r="D403" s="171"/>
      <c r="E403" s="216"/>
      <c r="F403" s="217"/>
      <c r="G403" s="171"/>
      <c r="H403" s="57"/>
      <c r="I403" s="57"/>
      <c r="J403" s="57"/>
      <c r="K403" s="57"/>
      <c r="L403" s="57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</row>
    <row r="404" spans="1:23" s="17" customFormat="1" ht="69" customHeight="1">
      <c r="A404" s="69">
        <v>32</v>
      </c>
      <c r="B404" s="86" t="s">
        <v>285</v>
      </c>
      <c r="C404" s="69" t="s">
        <v>92</v>
      </c>
      <c r="D404" s="149" t="s">
        <v>145</v>
      </c>
      <c r="E404" s="172" t="s">
        <v>35</v>
      </c>
      <c r="F404" s="161"/>
      <c r="G404" s="149" t="s">
        <v>128</v>
      </c>
      <c r="H404" s="68">
        <f>SUM(H405,H407)</f>
        <v>3046680</v>
      </c>
      <c r="I404" s="68">
        <f t="shared" ref="I404:V404" si="168">SUM(I405,I407)</f>
        <v>200000</v>
      </c>
      <c r="J404" s="68">
        <f t="shared" si="168"/>
        <v>331600</v>
      </c>
      <c r="K404" s="68">
        <f t="shared" si="168"/>
        <v>200000</v>
      </c>
      <c r="L404" s="68">
        <f t="shared" si="168"/>
        <v>200000</v>
      </c>
      <c r="M404" s="68">
        <f t="shared" si="168"/>
        <v>200000</v>
      </c>
      <c r="N404" s="68">
        <f t="shared" si="168"/>
        <v>200000</v>
      </c>
      <c r="O404" s="68">
        <f t="shared" si="168"/>
        <v>200000</v>
      </c>
      <c r="P404" s="68">
        <f t="shared" si="168"/>
        <v>200000</v>
      </c>
      <c r="Q404" s="68">
        <f t="shared" si="168"/>
        <v>200000</v>
      </c>
      <c r="R404" s="68">
        <f t="shared" si="168"/>
        <v>200000</v>
      </c>
      <c r="S404" s="68">
        <f t="shared" si="168"/>
        <v>200000</v>
      </c>
      <c r="T404" s="68">
        <f t="shared" si="168"/>
        <v>200000</v>
      </c>
      <c r="U404" s="68">
        <f t="shared" si="168"/>
        <v>200000</v>
      </c>
      <c r="V404" s="68">
        <f t="shared" si="168"/>
        <v>200000</v>
      </c>
      <c r="W404" s="79">
        <f>39600+692000</f>
        <v>731600</v>
      </c>
    </row>
    <row r="405" spans="1:23" s="17" customFormat="1" ht="15">
      <c r="A405" s="152" t="s">
        <v>12</v>
      </c>
      <c r="B405" s="153"/>
      <c r="C405" s="154"/>
      <c r="D405" s="150"/>
      <c r="E405" s="162"/>
      <c r="F405" s="163"/>
      <c r="G405" s="150"/>
      <c r="H405" s="61">
        <f>H406</f>
        <v>3046680</v>
      </c>
      <c r="I405" s="61">
        <f t="shared" ref="I405:V405" si="169">I406</f>
        <v>200000</v>
      </c>
      <c r="J405" s="61">
        <f t="shared" si="169"/>
        <v>331600</v>
      </c>
      <c r="K405" s="61">
        <f t="shared" si="169"/>
        <v>200000</v>
      </c>
      <c r="L405" s="61">
        <f t="shared" si="169"/>
        <v>200000</v>
      </c>
      <c r="M405" s="61">
        <f t="shared" si="169"/>
        <v>200000</v>
      </c>
      <c r="N405" s="61">
        <f t="shared" si="169"/>
        <v>200000</v>
      </c>
      <c r="O405" s="61">
        <f t="shared" si="169"/>
        <v>200000</v>
      </c>
      <c r="P405" s="61">
        <f t="shared" si="169"/>
        <v>200000</v>
      </c>
      <c r="Q405" s="61">
        <f t="shared" si="169"/>
        <v>200000</v>
      </c>
      <c r="R405" s="61">
        <f t="shared" si="169"/>
        <v>200000</v>
      </c>
      <c r="S405" s="61">
        <f t="shared" si="169"/>
        <v>200000</v>
      </c>
      <c r="T405" s="61">
        <f t="shared" si="169"/>
        <v>200000</v>
      </c>
      <c r="U405" s="61">
        <f t="shared" si="169"/>
        <v>200000</v>
      </c>
      <c r="V405" s="61">
        <f t="shared" si="169"/>
        <v>200000</v>
      </c>
      <c r="W405" s="88"/>
    </row>
    <row r="406" spans="1:23" s="17" customFormat="1" ht="15">
      <c r="A406" s="96"/>
      <c r="B406" s="184" t="s">
        <v>25</v>
      </c>
      <c r="C406" s="185"/>
      <c r="D406" s="150"/>
      <c r="E406" s="162"/>
      <c r="F406" s="163"/>
      <c r="G406" s="150"/>
      <c r="H406" s="61">
        <v>3046680</v>
      </c>
      <c r="I406" s="61">
        <v>200000</v>
      </c>
      <c r="J406" s="61">
        <f>200000+131600</f>
        <v>331600</v>
      </c>
      <c r="K406" s="61">
        <v>200000</v>
      </c>
      <c r="L406" s="61">
        <v>200000</v>
      </c>
      <c r="M406" s="61">
        <v>200000</v>
      </c>
      <c r="N406" s="61">
        <v>200000</v>
      </c>
      <c r="O406" s="61">
        <v>200000</v>
      </c>
      <c r="P406" s="61">
        <v>200000</v>
      </c>
      <c r="Q406" s="61">
        <v>200000</v>
      </c>
      <c r="R406" s="61">
        <v>200000</v>
      </c>
      <c r="S406" s="61">
        <v>200000</v>
      </c>
      <c r="T406" s="61">
        <v>200000</v>
      </c>
      <c r="U406" s="61">
        <v>200000</v>
      </c>
      <c r="V406" s="61">
        <v>200000</v>
      </c>
      <c r="W406" s="88"/>
    </row>
    <row r="407" spans="1:23" s="17" customFormat="1" ht="15">
      <c r="A407" s="152" t="s">
        <v>4</v>
      </c>
      <c r="B407" s="153"/>
      <c r="C407" s="154"/>
      <c r="D407" s="151"/>
      <c r="E407" s="164"/>
      <c r="F407" s="165"/>
      <c r="G407" s="151"/>
      <c r="H407" s="61"/>
      <c r="I407" s="61"/>
      <c r="J407" s="61"/>
      <c r="K407" s="61"/>
      <c r="L407" s="61"/>
      <c r="M407" s="88"/>
      <c r="N407" s="88"/>
      <c r="O407" s="88"/>
      <c r="P407" s="88"/>
      <c r="Q407" s="88"/>
      <c r="R407" s="88"/>
      <c r="S407" s="88"/>
      <c r="T407" s="88"/>
      <c r="U407" s="88"/>
      <c r="V407" s="88"/>
      <c r="W407" s="88"/>
    </row>
    <row r="408" spans="1:23" s="17" customFormat="1" ht="75">
      <c r="A408" s="69">
        <v>33</v>
      </c>
      <c r="B408" s="69" t="s">
        <v>94</v>
      </c>
      <c r="C408" s="69" t="s">
        <v>95</v>
      </c>
      <c r="D408" s="149" t="s">
        <v>20</v>
      </c>
      <c r="E408" s="172" t="s">
        <v>29</v>
      </c>
      <c r="F408" s="161"/>
      <c r="G408" s="149" t="s">
        <v>129</v>
      </c>
      <c r="H408" s="68">
        <f>SUM(H409:H410)</f>
        <v>2053836</v>
      </c>
      <c r="I408" s="68">
        <f t="shared" ref="I408:J408" si="170">SUM(I409:I410)</f>
        <v>1228386</v>
      </c>
      <c r="J408" s="68">
        <f t="shared" si="170"/>
        <v>210150</v>
      </c>
      <c r="K408" s="68"/>
      <c r="L408" s="68"/>
      <c r="M408" s="93"/>
      <c r="N408" s="93"/>
      <c r="O408" s="93"/>
      <c r="P408" s="93"/>
      <c r="Q408" s="93"/>
      <c r="R408" s="93"/>
      <c r="S408" s="93"/>
      <c r="T408" s="93"/>
      <c r="U408" s="93"/>
      <c r="V408" s="93"/>
      <c r="W408" s="79">
        <v>0</v>
      </c>
    </row>
    <row r="409" spans="1:23" s="17" customFormat="1" ht="15">
      <c r="A409" s="152" t="s">
        <v>3</v>
      </c>
      <c r="B409" s="153"/>
      <c r="C409" s="154"/>
      <c r="D409" s="150"/>
      <c r="E409" s="162"/>
      <c r="F409" s="163"/>
      <c r="G409" s="150"/>
      <c r="H409" s="61"/>
      <c r="I409" s="61"/>
      <c r="J409" s="61"/>
      <c r="K409" s="61"/>
      <c r="L409" s="61"/>
      <c r="M409" s="88"/>
      <c r="N409" s="88"/>
      <c r="O409" s="88"/>
      <c r="P409" s="88"/>
      <c r="Q409" s="88"/>
      <c r="R409" s="88"/>
      <c r="S409" s="88"/>
      <c r="T409" s="88"/>
      <c r="U409" s="88"/>
      <c r="V409" s="88"/>
      <c r="W409" s="88"/>
    </row>
    <row r="410" spans="1:23" s="17" customFormat="1" ht="15">
      <c r="A410" s="152" t="s">
        <v>11</v>
      </c>
      <c r="B410" s="153"/>
      <c r="C410" s="154"/>
      <c r="D410" s="150"/>
      <c r="E410" s="162"/>
      <c r="F410" s="163"/>
      <c r="G410" s="150"/>
      <c r="H410" s="61">
        <f>H411</f>
        <v>2053836</v>
      </c>
      <c r="I410" s="61">
        <f>SUM(I411:I411)</f>
        <v>1228386</v>
      </c>
      <c r="J410" s="61">
        <f>SUM(J411:J411)</f>
        <v>210150</v>
      </c>
      <c r="K410" s="61"/>
      <c r="L410" s="61"/>
      <c r="M410" s="88"/>
      <c r="N410" s="88"/>
      <c r="O410" s="88"/>
      <c r="P410" s="88"/>
      <c r="Q410" s="88"/>
      <c r="R410" s="88"/>
      <c r="S410" s="88"/>
      <c r="T410" s="88"/>
      <c r="U410" s="88"/>
      <c r="V410" s="88"/>
      <c r="W410" s="88"/>
    </row>
    <row r="411" spans="1:23" s="17" customFormat="1" ht="15">
      <c r="A411" s="96"/>
      <c r="B411" s="184" t="s">
        <v>25</v>
      </c>
      <c r="C411" s="185"/>
      <c r="D411" s="151"/>
      <c r="E411" s="164"/>
      <c r="F411" s="165"/>
      <c r="G411" s="151"/>
      <c r="H411" s="61">
        <v>2053836</v>
      </c>
      <c r="I411" s="61">
        <v>1228386</v>
      </c>
      <c r="J411" s="61">
        <v>210150</v>
      </c>
      <c r="K411" s="61"/>
      <c r="L411" s="61"/>
      <c r="M411" s="88"/>
      <c r="N411" s="88"/>
      <c r="O411" s="88"/>
      <c r="P411" s="88"/>
      <c r="Q411" s="88"/>
      <c r="R411" s="88"/>
      <c r="S411" s="88"/>
      <c r="T411" s="88"/>
      <c r="U411" s="88"/>
      <c r="V411" s="88"/>
      <c r="W411" s="88"/>
    </row>
    <row r="412" spans="1:23" s="17" customFormat="1" ht="105">
      <c r="A412" s="69">
        <v>34</v>
      </c>
      <c r="B412" s="86" t="s">
        <v>273</v>
      </c>
      <c r="C412" s="86" t="s">
        <v>274</v>
      </c>
      <c r="D412" s="149" t="s">
        <v>20</v>
      </c>
      <c r="E412" s="160" t="s">
        <v>275</v>
      </c>
      <c r="F412" s="161"/>
      <c r="G412" s="149" t="s">
        <v>129</v>
      </c>
      <c r="H412" s="68">
        <f>SUM(H413:H414)</f>
        <v>30379469</v>
      </c>
      <c r="I412" s="68">
        <f t="shared" ref="I412:J412" si="171">SUM(I413:I414)</f>
        <v>1932900</v>
      </c>
      <c r="J412" s="68">
        <f t="shared" si="171"/>
        <v>971922</v>
      </c>
      <c r="K412" s="68"/>
      <c r="L412" s="68"/>
      <c r="M412" s="93"/>
      <c r="N412" s="93"/>
      <c r="O412" s="93"/>
      <c r="P412" s="93"/>
      <c r="Q412" s="93"/>
      <c r="R412" s="93"/>
      <c r="S412" s="93"/>
      <c r="T412" s="93"/>
      <c r="U412" s="93"/>
      <c r="V412" s="93"/>
      <c r="W412" s="79">
        <v>0</v>
      </c>
    </row>
    <row r="413" spans="1:23" s="17" customFormat="1" ht="15">
      <c r="A413" s="152" t="s">
        <v>3</v>
      </c>
      <c r="B413" s="153"/>
      <c r="C413" s="154"/>
      <c r="D413" s="150"/>
      <c r="E413" s="162"/>
      <c r="F413" s="163"/>
      <c r="G413" s="150"/>
      <c r="H413" s="61"/>
      <c r="I413" s="61"/>
      <c r="J413" s="61"/>
      <c r="K413" s="61"/>
      <c r="L413" s="61"/>
      <c r="M413" s="88"/>
      <c r="N413" s="88"/>
      <c r="O413" s="88"/>
      <c r="P413" s="88"/>
      <c r="Q413" s="88"/>
      <c r="R413" s="88"/>
      <c r="S413" s="88"/>
      <c r="T413" s="88"/>
      <c r="U413" s="88"/>
      <c r="V413" s="88"/>
      <c r="W413" s="88"/>
    </row>
    <row r="414" spans="1:23" s="17" customFormat="1" ht="15">
      <c r="A414" s="152" t="s">
        <v>11</v>
      </c>
      <c r="B414" s="153"/>
      <c r="C414" s="154"/>
      <c r="D414" s="150"/>
      <c r="E414" s="162"/>
      <c r="F414" s="163"/>
      <c r="G414" s="150"/>
      <c r="H414" s="61">
        <f>H415</f>
        <v>30379469</v>
      </c>
      <c r="I414" s="61">
        <f>SUM(I415:I415)</f>
        <v>1932900</v>
      </c>
      <c r="J414" s="61">
        <f>SUM(J415:J415)</f>
        <v>971922</v>
      </c>
      <c r="K414" s="61"/>
      <c r="L414" s="61"/>
      <c r="M414" s="88"/>
      <c r="N414" s="88"/>
      <c r="O414" s="88"/>
      <c r="P414" s="88"/>
      <c r="Q414" s="88"/>
      <c r="R414" s="88"/>
      <c r="S414" s="88"/>
      <c r="T414" s="88"/>
      <c r="U414" s="88"/>
      <c r="V414" s="88"/>
      <c r="W414" s="88"/>
    </row>
    <row r="415" spans="1:23" s="17" customFormat="1" ht="15">
      <c r="A415" s="96"/>
      <c r="B415" s="184" t="s">
        <v>25</v>
      </c>
      <c r="C415" s="185"/>
      <c r="D415" s="151"/>
      <c r="E415" s="164"/>
      <c r="F415" s="165"/>
      <c r="G415" s="151"/>
      <c r="H415" s="61">
        <v>30379469</v>
      </c>
      <c r="I415" s="61">
        <v>1932900</v>
      </c>
      <c r="J415" s="61">
        <v>971922</v>
      </c>
      <c r="K415" s="61"/>
      <c r="L415" s="61"/>
      <c r="M415" s="88"/>
      <c r="N415" s="88"/>
      <c r="O415" s="88"/>
      <c r="P415" s="88"/>
      <c r="Q415" s="88"/>
      <c r="R415" s="88"/>
      <c r="S415" s="88"/>
      <c r="T415" s="88"/>
      <c r="U415" s="88"/>
      <c r="V415" s="88"/>
      <c r="W415" s="88"/>
    </row>
    <row r="416" spans="1:23" s="17" customFormat="1" ht="65.25" customHeight="1">
      <c r="A416" s="69">
        <v>35</v>
      </c>
      <c r="B416" s="69" t="s">
        <v>96</v>
      </c>
      <c r="C416" s="69" t="s">
        <v>97</v>
      </c>
      <c r="D416" s="149" t="s">
        <v>15</v>
      </c>
      <c r="E416" s="172" t="s">
        <v>34</v>
      </c>
      <c r="F416" s="161"/>
      <c r="G416" s="149" t="s">
        <v>130</v>
      </c>
      <c r="H416" s="68">
        <f>SUM(H417,H419)</f>
        <v>2623209</v>
      </c>
      <c r="I416" s="68">
        <f t="shared" ref="I416:J416" si="172">SUM(I417,I419)</f>
        <v>923750</v>
      </c>
      <c r="J416" s="68">
        <f t="shared" si="172"/>
        <v>1070000</v>
      </c>
      <c r="K416" s="68"/>
      <c r="L416" s="68"/>
      <c r="M416" s="93"/>
      <c r="N416" s="93"/>
      <c r="O416" s="93"/>
      <c r="P416" s="93"/>
      <c r="Q416" s="93"/>
      <c r="R416" s="93"/>
      <c r="S416" s="93"/>
      <c r="T416" s="93"/>
      <c r="U416" s="93"/>
      <c r="V416" s="93"/>
      <c r="W416" s="79">
        <v>0</v>
      </c>
    </row>
    <row r="417" spans="1:23" s="17" customFormat="1" ht="15">
      <c r="A417" s="152" t="s">
        <v>12</v>
      </c>
      <c r="B417" s="153"/>
      <c r="C417" s="154"/>
      <c r="D417" s="150"/>
      <c r="E417" s="162"/>
      <c r="F417" s="163"/>
      <c r="G417" s="150"/>
      <c r="H417" s="61">
        <f>H418</f>
        <v>2533209</v>
      </c>
      <c r="I417" s="61">
        <f t="shared" ref="I417:J417" si="173">I418</f>
        <v>923750</v>
      </c>
      <c r="J417" s="61">
        <f t="shared" si="173"/>
        <v>1070000</v>
      </c>
      <c r="K417" s="61"/>
      <c r="L417" s="61"/>
      <c r="M417" s="88"/>
      <c r="N417" s="88"/>
      <c r="O417" s="88"/>
      <c r="P417" s="88"/>
      <c r="Q417" s="88"/>
      <c r="R417" s="88"/>
      <c r="S417" s="88"/>
      <c r="T417" s="88"/>
      <c r="U417" s="88"/>
      <c r="V417" s="88"/>
      <c r="W417" s="88"/>
    </row>
    <row r="418" spans="1:23" s="17" customFormat="1" ht="15">
      <c r="A418" s="96"/>
      <c r="B418" s="184" t="s">
        <v>25</v>
      </c>
      <c r="C418" s="185"/>
      <c r="D418" s="150"/>
      <c r="E418" s="162"/>
      <c r="F418" s="163"/>
      <c r="G418" s="150"/>
      <c r="H418" s="61">
        <v>2533209</v>
      </c>
      <c r="I418" s="61">
        <v>923750</v>
      </c>
      <c r="J418" s="61">
        <v>1070000</v>
      </c>
      <c r="K418" s="61"/>
      <c r="L418" s="61"/>
      <c r="M418" s="88"/>
      <c r="N418" s="88"/>
      <c r="O418" s="88"/>
      <c r="P418" s="88"/>
      <c r="Q418" s="88"/>
      <c r="R418" s="88"/>
      <c r="S418" s="88"/>
      <c r="T418" s="88"/>
      <c r="U418" s="88"/>
      <c r="V418" s="88"/>
      <c r="W418" s="88"/>
    </row>
    <row r="419" spans="1:23" s="17" customFormat="1" ht="15">
      <c r="A419" s="152" t="s">
        <v>4</v>
      </c>
      <c r="B419" s="153"/>
      <c r="C419" s="154"/>
      <c r="D419" s="150"/>
      <c r="E419" s="162"/>
      <c r="F419" s="163"/>
      <c r="G419" s="150"/>
      <c r="H419" s="61">
        <f>H420</f>
        <v>90000</v>
      </c>
      <c r="I419" s="61">
        <f t="shared" ref="I419:J419" si="174">I420</f>
        <v>0</v>
      </c>
      <c r="J419" s="61">
        <f t="shared" si="174"/>
        <v>0</v>
      </c>
      <c r="K419" s="61"/>
      <c r="L419" s="61"/>
      <c r="M419" s="88"/>
      <c r="N419" s="88"/>
      <c r="O419" s="88"/>
      <c r="P419" s="88"/>
      <c r="Q419" s="88"/>
      <c r="R419" s="88"/>
      <c r="S419" s="88"/>
      <c r="T419" s="88"/>
      <c r="U419" s="88"/>
      <c r="V419" s="88"/>
      <c r="W419" s="88"/>
    </row>
    <row r="420" spans="1:23" s="17" customFormat="1" ht="15">
      <c r="A420" s="96"/>
      <c r="B420" s="184" t="s">
        <v>25</v>
      </c>
      <c r="C420" s="185"/>
      <c r="D420" s="151"/>
      <c r="E420" s="164"/>
      <c r="F420" s="165"/>
      <c r="G420" s="151"/>
      <c r="H420" s="61">
        <v>90000</v>
      </c>
      <c r="I420" s="61"/>
      <c r="J420" s="61"/>
      <c r="K420" s="61"/>
      <c r="L420" s="61"/>
      <c r="M420" s="88"/>
      <c r="N420" s="88"/>
      <c r="O420" s="88"/>
      <c r="P420" s="88"/>
      <c r="Q420" s="88"/>
      <c r="R420" s="88"/>
      <c r="S420" s="88"/>
      <c r="T420" s="88"/>
      <c r="U420" s="88"/>
      <c r="V420" s="88"/>
      <c r="W420" s="88"/>
    </row>
    <row r="421" spans="1:23" s="17" customFormat="1" ht="30">
      <c r="A421" s="69">
        <v>36</v>
      </c>
      <c r="B421" s="69" t="s">
        <v>98</v>
      </c>
      <c r="C421" s="69" t="s">
        <v>99</v>
      </c>
      <c r="D421" s="149" t="s">
        <v>15</v>
      </c>
      <c r="E421" s="172" t="s">
        <v>32</v>
      </c>
      <c r="F421" s="161"/>
      <c r="G421" s="149" t="s">
        <v>131</v>
      </c>
      <c r="H421" s="68">
        <f>SUM(H422,H424)</f>
        <v>3398617</v>
      </c>
      <c r="I421" s="68">
        <f t="shared" ref="I421:L421" si="175">SUM(I422,I424)</f>
        <v>700000</v>
      </c>
      <c r="J421" s="68">
        <f t="shared" si="175"/>
        <v>700000</v>
      </c>
      <c r="K421" s="68">
        <f t="shared" si="175"/>
        <v>800000</v>
      </c>
      <c r="L421" s="68">
        <f t="shared" si="175"/>
        <v>800000</v>
      </c>
      <c r="M421" s="93"/>
      <c r="N421" s="93"/>
      <c r="O421" s="93"/>
      <c r="P421" s="93"/>
      <c r="Q421" s="93"/>
      <c r="R421" s="93"/>
      <c r="S421" s="93"/>
      <c r="T421" s="93"/>
      <c r="U421" s="93"/>
      <c r="V421" s="93"/>
      <c r="W421" s="79">
        <v>0</v>
      </c>
    </row>
    <row r="422" spans="1:23" s="17" customFormat="1" ht="15">
      <c r="A422" s="152" t="s">
        <v>12</v>
      </c>
      <c r="B422" s="153"/>
      <c r="C422" s="154"/>
      <c r="D422" s="150"/>
      <c r="E422" s="162"/>
      <c r="F422" s="163"/>
      <c r="G422" s="150"/>
      <c r="H422" s="61">
        <f>H423</f>
        <v>3398617</v>
      </c>
      <c r="I422" s="61">
        <f t="shared" ref="I422:L422" si="176">I423</f>
        <v>700000</v>
      </c>
      <c r="J422" s="61">
        <f t="shared" si="176"/>
        <v>700000</v>
      </c>
      <c r="K422" s="61">
        <f t="shared" si="176"/>
        <v>800000</v>
      </c>
      <c r="L422" s="61">
        <f t="shared" si="176"/>
        <v>800000</v>
      </c>
      <c r="M422" s="88"/>
      <c r="N422" s="88"/>
      <c r="O422" s="88"/>
      <c r="P422" s="88"/>
      <c r="Q422" s="88"/>
      <c r="R422" s="88"/>
      <c r="S422" s="88"/>
      <c r="T422" s="88"/>
      <c r="U422" s="88"/>
      <c r="V422" s="88"/>
      <c r="W422" s="88"/>
    </row>
    <row r="423" spans="1:23" s="17" customFormat="1" ht="15">
      <c r="A423" s="96"/>
      <c r="B423" s="184" t="s">
        <v>25</v>
      </c>
      <c r="C423" s="185"/>
      <c r="D423" s="150"/>
      <c r="E423" s="162"/>
      <c r="F423" s="163"/>
      <c r="G423" s="150"/>
      <c r="H423" s="61">
        <f>3400000-1383</f>
        <v>3398617</v>
      </c>
      <c r="I423" s="61">
        <v>700000</v>
      </c>
      <c r="J423" s="61">
        <v>700000</v>
      </c>
      <c r="K423" s="61">
        <v>800000</v>
      </c>
      <c r="L423" s="61">
        <v>800000</v>
      </c>
      <c r="M423" s="88"/>
      <c r="N423" s="88"/>
      <c r="O423" s="88"/>
      <c r="P423" s="88"/>
      <c r="Q423" s="88"/>
      <c r="R423" s="88"/>
      <c r="S423" s="88"/>
      <c r="T423" s="88"/>
      <c r="U423" s="88"/>
      <c r="V423" s="88"/>
      <c r="W423" s="88"/>
    </row>
    <row r="424" spans="1:23" s="17" customFormat="1" ht="15">
      <c r="A424" s="152" t="s">
        <v>4</v>
      </c>
      <c r="B424" s="153"/>
      <c r="C424" s="154"/>
      <c r="D424" s="151"/>
      <c r="E424" s="164"/>
      <c r="F424" s="165"/>
      <c r="G424" s="151"/>
      <c r="H424" s="61"/>
      <c r="I424" s="61"/>
      <c r="J424" s="61"/>
      <c r="K424" s="61"/>
      <c r="L424" s="61"/>
      <c r="M424" s="88"/>
      <c r="N424" s="88"/>
      <c r="O424" s="88"/>
      <c r="P424" s="88"/>
      <c r="Q424" s="88"/>
      <c r="R424" s="88"/>
      <c r="S424" s="88"/>
      <c r="T424" s="88"/>
      <c r="U424" s="88"/>
      <c r="V424" s="88"/>
      <c r="W424" s="88"/>
    </row>
    <row r="425" spans="1:23" ht="75">
      <c r="A425" s="8">
        <v>37</v>
      </c>
      <c r="B425" s="8" t="s">
        <v>102</v>
      </c>
      <c r="C425" s="8" t="s">
        <v>103</v>
      </c>
      <c r="D425" s="178" t="s">
        <v>15</v>
      </c>
      <c r="E425" s="212" t="s">
        <v>33</v>
      </c>
      <c r="F425" s="213"/>
      <c r="G425" s="178" t="s">
        <v>132</v>
      </c>
      <c r="H425" s="59">
        <f>SUM(H426,H428)</f>
        <v>7647248</v>
      </c>
      <c r="I425" s="59">
        <f t="shared" ref="I425:Q425" si="177">SUM(I426,I428)</f>
        <v>536500</v>
      </c>
      <c r="J425" s="59">
        <f t="shared" si="177"/>
        <v>536500</v>
      </c>
      <c r="K425" s="59">
        <f t="shared" si="177"/>
        <v>536500</v>
      </c>
      <c r="L425" s="59">
        <f t="shared" si="177"/>
        <v>777925</v>
      </c>
      <c r="M425" s="59">
        <f t="shared" si="177"/>
        <v>777925</v>
      </c>
      <c r="N425" s="59">
        <f t="shared" si="177"/>
        <v>777925</v>
      </c>
      <c r="O425" s="59">
        <f t="shared" si="177"/>
        <v>1127991</v>
      </c>
      <c r="P425" s="59">
        <f t="shared" si="177"/>
        <v>1127991</v>
      </c>
      <c r="Q425" s="59">
        <f t="shared" si="177"/>
        <v>1127991</v>
      </c>
      <c r="R425" s="9"/>
      <c r="S425" s="9"/>
      <c r="T425" s="9"/>
      <c r="U425" s="9"/>
      <c r="V425" s="9"/>
      <c r="W425" s="78">
        <v>0</v>
      </c>
    </row>
    <row r="426" spans="1:23" ht="15">
      <c r="A426" s="166" t="s">
        <v>12</v>
      </c>
      <c r="B426" s="167"/>
      <c r="C426" s="168"/>
      <c r="D426" s="170"/>
      <c r="E426" s="214"/>
      <c r="F426" s="215"/>
      <c r="G426" s="170"/>
      <c r="H426" s="57">
        <f>H427</f>
        <v>7647248</v>
      </c>
      <c r="I426" s="57">
        <f t="shared" ref="I426:Q426" si="178">I427</f>
        <v>536500</v>
      </c>
      <c r="J426" s="57">
        <f t="shared" si="178"/>
        <v>536500</v>
      </c>
      <c r="K426" s="57">
        <f t="shared" si="178"/>
        <v>536500</v>
      </c>
      <c r="L426" s="57">
        <f t="shared" si="178"/>
        <v>777925</v>
      </c>
      <c r="M426" s="57">
        <f t="shared" si="178"/>
        <v>777925</v>
      </c>
      <c r="N426" s="57">
        <f t="shared" si="178"/>
        <v>777925</v>
      </c>
      <c r="O426" s="57">
        <f t="shared" si="178"/>
        <v>1127991</v>
      </c>
      <c r="P426" s="57">
        <f t="shared" si="178"/>
        <v>1127991</v>
      </c>
      <c r="Q426" s="57">
        <f t="shared" si="178"/>
        <v>1127991</v>
      </c>
      <c r="R426" s="57"/>
      <c r="S426" s="57"/>
      <c r="T426" s="2"/>
      <c r="U426" s="2"/>
      <c r="V426" s="2"/>
      <c r="W426" s="2"/>
    </row>
    <row r="427" spans="1:23" ht="15">
      <c r="A427" s="13"/>
      <c r="B427" s="197" t="s">
        <v>25</v>
      </c>
      <c r="C427" s="198"/>
      <c r="D427" s="170"/>
      <c r="E427" s="214"/>
      <c r="F427" s="215"/>
      <c r="G427" s="170"/>
      <c r="H427" s="57">
        <v>7647248</v>
      </c>
      <c r="I427" s="57">
        <v>536500</v>
      </c>
      <c r="J427" s="57">
        <v>536500</v>
      </c>
      <c r="K427" s="57">
        <v>536500</v>
      </c>
      <c r="L427" s="57">
        <v>777925</v>
      </c>
      <c r="M427" s="57">
        <v>777925</v>
      </c>
      <c r="N427" s="57">
        <v>777925</v>
      </c>
      <c r="O427" s="57">
        <v>1127991</v>
      </c>
      <c r="P427" s="57">
        <v>1127991</v>
      </c>
      <c r="Q427" s="57">
        <v>1127991</v>
      </c>
      <c r="R427" s="57"/>
      <c r="S427" s="57"/>
      <c r="T427" s="2"/>
      <c r="U427" s="2"/>
      <c r="V427" s="2"/>
      <c r="W427" s="2"/>
    </row>
    <row r="428" spans="1:23" ht="15">
      <c r="A428" s="166" t="s">
        <v>4</v>
      </c>
      <c r="B428" s="167"/>
      <c r="C428" s="168"/>
      <c r="D428" s="171"/>
      <c r="E428" s="216"/>
      <c r="F428" s="217"/>
      <c r="G428" s="171"/>
      <c r="H428" s="57"/>
      <c r="I428" s="57"/>
      <c r="J428" s="57"/>
      <c r="K428" s="57"/>
      <c r="L428" s="57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</row>
    <row r="429" spans="1:23" s="17" customFormat="1" ht="35.25" customHeight="1">
      <c r="A429" s="97">
        <v>38</v>
      </c>
      <c r="B429" s="77" t="s">
        <v>104</v>
      </c>
      <c r="C429" s="90" t="s">
        <v>105</v>
      </c>
      <c r="D429" s="149" t="s">
        <v>21</v>
      </c>
      <c r="E429" s="172" t="s">
        <v>32</v>
      </c>
      <c r="F429" s="161"/>
      <c r="G429" s="149" t="s">
        <v>133</v>
      </c>
      <c r="H429" s="68">
        <f>SUM(H430,H433)</f>
        <v>72812194</v>
      </c>
      <c r="I429" s="68">
        <f t="shared" ref="I429:L429" si="179">SUM(I430,I433)</f>
        <v>14650584</v>
      </c>
      <c r="J429" s="68">
        <f t="shared" si="179"/>
        <v>17803200</v>
      </c>
      <c r="K429" s="68">
        <f t="shared" si="179"/>
        <v>15506200</v>
      </c>
      <c r="L429" s="68">
        <f t="shared" si="179"/>
        <v>11508000</v>
      </c>
      <c r="M429" s="93"/>
      <c r="N429" s="93"/>
      <c r="O429" s="93"/>
      <c r="P429" s="93"/>
      <c r="Q429" s="93"/>
      <c r="R429" s="93"/>
      <c r="S429" s="93"/>
      <c r="T429" s="93"/>
      <c r="U429" s="93"/>
      <c r="V429" s="93"/>
      <c r="W429" s="79">
        <v>0</v>
      </c>
    </row>
    <row r="430" spans="1:23" s="17" customFormat="1" ht="15">
      <c r="A430" s="152" t="s">
        <v>12</v>
      </c>
      <c r="B430" s="153"/>
      <c r="C430" s="154"/>
      <c r="D430" s="150"/>
      <c r="E430" s="162"/>
      <c r="F430" s="163"/>
      <c r="G430" s="150"/>
      <c r="H430" s="61">
        <f>SUM(H431:H432)</f>
        <v>72812194</v>
      </c>
      <c r="I430" s="61">
        <f t="shared" ref="I430:L430" si="180">SUM(I431:I432)</f>
        <v>14650584</v>
      </c>
      <c r="J430" s="61">
        <f t="shared" si="180"/>
        <v>17803200</v>
      </c>
      <c r="K430" s="61">
        <f t="shared" si="180"/>
        <v>15506200</v>
      </c>
      <c r="L430" s="61">
        <f t="shared" si="180"/>
        <v>11508000</v>
      </c>
      <c r="M430" s="88"/>
      <c r="N430" s="88"/>
      <c r="O430" s="88"/>
      <c r="P430" s="88"/>
      <c r="Q430" s="88"/>
      <c r="R430" s="88"/>
      <c r="S430" s="88"/>
      <c r="T430" s="88"/>
      <c r="U430" s="88"/>
      <c r="V430" s="88"/>
      <c r="W430" s="88"/>
    </row>
    <row r="431" spans="1:23" s="17" customFormat="1" ht="15">
      <c r="A431" s="96"/>
      <c r="B431" s="184" t="s">
        <v>25</v>
      </c>
      <c r="C431" s="185"/>
      <c r="D431" s="150"/>
      <c r="E431" s="162"/>
      <c r="F431" s="163"/>
      <c r="G431" s="150"/>
      <c r="H431" s="61">
        <v>10051737</v>
      </c>
      <c r="I431" s="61">
        <v>1948188</v>
      </c>
      <c r="J431" s="61">
        <v>2421078</v>
      </c>
      <c r="K431" s="61">
        <v>2159763</v>
      </c>
      <c r="L431" s="61">
        <v>1726200</v>
      </c>
      <c r="M431" s="88"/>
      <c r="N431" s="88"/>
      <c r="O431" s="88"/>
      <c r="P431" s="88"/>
      <c r="Q431" s="88"/>
      <c r="R431" s="88"/>
      <c r="S431" s="88"/>
      <c r="T431" s="88"/>
      <c r="U431" s="88"/>
      <c r="V431" s="88"/>
      <c r="W431" s="88"/>
    </row>
    <row r="432" spans="1:23" s="17" customFormat="1" ht="15">
      <c r="A432" s="96"/>
      <c r="B432" s="184" t="s">
        <v>24</v>
      </c>
      <c r="C432" s="185"/>
      <c r="D432" s="150"/>
      <c r="E432" s="162"/>
      <c r="F432" s="163"/>
      <c r="G432" s="150"/>
      <c r="H432" s="61">
        <v>62760457</v>
      </c>
      <c r="I432" s="61">
        <v>12702396</v>
      </c>
      <c r="J432" s="61">
        <v>15382122</v>
      </c>
      <c r="K432" s="61">
        <v>13346437</v>
      </c>
      <c r="L432" s="61">
        <v>9781800</v>
      </c>
      <c r="M432" s="88"/>
      <c r="N432" s="88"/>
      <c r="O432" s="88"/>
      <c r="P432" s="88"/>
      <c r="Q432" s="88"/>
      <c r="R432" s="88"/>
      <c r="S432" s="88"/>
      <c r="T432" s="88"/>
      <c r="U432" s="88"/>
      <c r="V432" s="88"/>
      <c r="W432" s="88"/>
    </row>
    <row r="433" spans="1:23" s="17" customFormat="1" ht="15">
      <c r="A433" s="273" t="s">
        <v>4</v>
      </c>
      <c r="B433" s="153"/>
      <c r="C433" s="154"/>
      <c r="D433" s="151"/>
      <c r="E433" s="164"/>
      <c r="F433" s="165"/>
      <c r="G433" s="151"/>
      <c r="H433" s="61"/>
      <c r="I433" s="61"/>
      <c r="J433" s="61"/>
      <c r="K433" s="61"/>
      <c r="L433" s="61"/>
      <c r="M433" s="88"/>
      <c r="N433" s="88"/>
      <c r="O433" s="88"/>
      <c r="P433" s="88"/>
      <c r="Q433" s="88"/>
      <c r="R433" s="88"/>
      <c r="S433" s="88"/>
      <c r="T433" s="88"/>
      <c r="U433" s="88"/>
      <c r="V433" s="88"/>
      <c r="W433" s="88"/>
    </row>
    <row r="434" spans="1:23" s="17" customFormat="1" ht="156.75" customHeight="1">
      <c r="A434" s="97">
        <v>39</v>
      </c>
      <c r="B434" s="77" t="s">
        <v>261</v>
      </c>
      <c r="C434" s="90" t="s">
        <v>262</v>
      </c>
      <c r="D434" s="190" t="s">
        <v>145</v>
      </c>
      <c r="E434" s="160" t="s">
        <v>142</v>
      </c>
      <c r="F434" s="161"/>
      <c r="G434" s="190" t="s">
        <v>263</v>
      </c>
      <c r="H434" s="68">
        <f>SUM(H435,H438)</f>
        <v>300000</v>
      </c>
      <c r="I434" s="68">
        <f t="shared" ref="I434:J434" si="181">SUM(I435,I438)</f>
        <v>67000</v>
      </c>
      <c r="J434" s="68">
        <f t="shared" si="181"/>
        <v>233000</v>
      </c>
      <c r="K434" s="68"/>
      <c r="L434" s="68"/>
      <c r="M434" s="93"/>
      <c r="N434" s="93"/>
      <c r="O434" s="93"/>
      <c r="P434" s="93"/>
      <c r="Q434" s="93"/>
      <c r="R434" s="93"/>
      <c r="S434" s="93"/>
      <c r="T434" s="93"/>
      <c r="U434" s="93"/>
      <c r="V434" s="93"/>
      <c r="W434" s="79">
        <v>233000</v>
      </c>
    </row>
    <row r="435" spans="1:23" s="17" customFormat="1" ht="15">
      <c r="A435" s="152" t="s">
        <v>12</v>
      </c>
      <c r="B435" s="153"/>
      <c r="C435" s="154"/>
      <c r="D435" s="150"/>
      <c r="E435" s="162"/>
      <c r="F435" s="163"/>
      <c r="G435" s="150"/>
      <c r="H435" s="61">
        <f>SUM(H436:H437)</f>
        <v>300000</v>
      </c>
      <c r="I435" s="61">
        <f t="shared" ref="I435:J435" si="182">SUM(I436:I437)</f>
        <v>67000</v>
      </c>
      <c r="J435" s="61">
        <f t="shared" si="182"/>
        <v>233000</v>
      </c>
      <c r="K435" s="61"/>
      <c r="L435" s="61"/>
      <c r="M435" s="88"/>
      <c r="N435" s="88"/>
      <c r="O435" s="88"/>
      <c r="P435" s="88"/>
      <c r="Q435" s="88"/>
      <c r="R435" s="88"/>
      <c r="S435" s="88"/>
      <c r="T435" s="88"/>
      <c r="U435" s="88"/>
      <c r="V435" s="88"/>
      <c r="W435" s="88"/>
    </row>
    <row r="436" spans="1:23" s="17" customFormat="1" ht="15">
      <c r="A436" s="96"/>
      <c r="B436" s="184" t="s">
        <v>25</v>
      </c>
      <c r="C436" s="185"/>
      <c r="D436" s="150"/>
      <c r="E436" s="162"/>
      <c r="F436" s="163"/>
      <c r="G436" s="150"/>
      <c r="H436" s="61">
        <v>90000</v>
      </c>
      <c r="I436" s="61">
        <v>27000</v>
      </c>
      <c r="J436" s="61">
        <v>63000</v>
      </c>
      <c r="K436" s="61"/>
      <c r="L436" s="61"/>
      <c r="M436" s="88"/>
      <c r="N436" s="88"/>
      <c r="O436" s="88"/>
      <c r="P436" s="88"/>
      <c r="Q436" s="88"/>
      <c r="R436" s="88"/>
      <c r="S436" s="88"/>
      <c r="T436" s="88"/>
      <c r="U436" s="88"/>
      <c r="V436" s="88"/>
      <c r="W436" s="88"/>
    </row>
    <row r="437" spans="1:23" s="17" customFormat="1" ht="15">
      <c r="A437" s="96"/>
      <c r="B437" s="184" t="s">
        <v>153</v>
      </c>
      <c r="C437" s="185"/>
      <c r="D437" s="150"/>
      <c r="E437" s="162"/>
      <c r="F437" s="163"/>
      <c r="G437" s="150"/>
      <c r="H437" s="61">
        <v>210000</v>
      </c>
      <c r="I437" s="61">
        <v>40000</v>
      </c>
      <c r="J437" s="61">
        <v>170000</v>
      </c>
      <c r="K437" s="61"/>
      <c r="L437" s="61"/>
      <c r="M437" s="88"/>
      <c r="N437" s="88"/>
      <c r="O437" s="88"/>
      <c r="P437" s="88"/>
      <c r="Q437" s="88"/>
      <c r="R437" s="88"/>
      <c r="S437" s="88"/>
      <c r="T437" s="88"/>
      <c r="U437" s="88"/>
      <c r="V437" s="88"/>
      <c r="W437" s="88"/>
    </row>
    <row r="438" spans="1:23" s="17" customFormat="1" ht="15">
      <c r="A438" s="152" t="s">
        <v>4</v>
      </c>
      <c r="B438" s="153"/>
      <c r="C438" s="154"/>
      <c r="D438" s="151"/>
      <c r="E438" s="164"/>
      <c r="F438" s="165"/>
      <c r="G438" s="151"/>
      <c r="H438" s="61"/>
      <c r="I438" s="61"/>
      <c r="J438" s="61"/>
      <c r="K438" s="61"/>
      <c r="L438" s="61"/>
      <c r="M438" s="88"/>
      <c r="N438" s="88"/>
      <c r="O438" s="88"/>
      <c r="P438" s="88"/>
      <c r="Q438" s="88"/>
      <c r="R438" s="88"/>
      <c r="S438" s="88"/>
      <c r="T438" s="88"/>
      <c r="U438" s="88"/>
      <c r="V438" s="88"/>
      <c r="W438" s="88"/>
    </row>
    <row r="439" spans="1:23" s="17" customFormat="1" ht="166.5" customHeight="1">
      <c r="A439" s="69">
        <v>40</v>
      </c>
      <c r="B439" s="77" t="s">
        <v>247</v>
      </c>
      <c r="C439" s="90" t="s">
        <v>248</v>
      </c>
      <c r="D439" s="190" t="s">
        <v>249</v>
      </c>
      <c r="E439" s="160" t="s">
        <v>250</v>
      </c>
      <c r="F439" s="161"/>
      <c r="G439" s="190" t="s">
        <v>251</v>
      </c>
      <c r="H439" s="68">
        <f>SUM(H440:H441)</f>
        <v>1511314</v>
      </c>
      <c r="I439" s="68">
        <f>SUM(I440:I441)</f>
        <v>607333</v>
      </c>
      <c r="J439" s="68">
        <f>SUM(J440:J441)</f>
        <v>761454</v>
      </c>
      <c r="K439" s="68"/>
      <c r="L439" s="68"/>
      <c r="M439" s="93"/>
      <c r="N439" s="93"/>
      <c r="O439" s="93"/>
      <c r="P439" s="93"/>
      <c r="Q439" s="93"/>
      <c r="R439" s="93"/>
      <c r="S439" s="93"/>
      <c r="T439" s="93"/>
      <c r="U439" s="93"/>
      <c r="V439" s="93"/>
      <c r="W439" s="79">
        <v>0</v>
      </c>
    </row>
    <row r="440" spans="1:23" s="17" customFormat="1" ht="15">
      <c r="A440" s="152" t="s">
        <v>3</v>
      </c>
      <c r="B440" s="153"/>
      <c r="C440" s="154"/>
      <c r="D440" s="150"/>
      <c r="E440" s="162"/>
      <c r="F440" s="163"/>
      <c r="G440" s="150"/>
      <c r="H440" s="61"/>
      <c r="I440" s="61"/>
      <c r="J440" s="61"/>
      <c r="K440" s="61"/>
      <c r="L440" s="61"/>
      <c r="M440" s="88"/>
      <c r="N440" s="88"/>
      <c r="O440" s="88"/>
      <c r="P440" s="88"/>
      <c r="Q440" s="88"/>
      <c r="R440" s="88"/>
      <c r="S440" s="88"/>
      <c r="T440" s="88"/>
      <c r="U440" s="88"/>
      <c r="V440" s="88"/>
      <c r="W440" s="88"/>
    </row>
    <row r="441" spans="1:23" s="17" customFormat="1" ht="15">
      <c r="A441" s="152" t="s">
        <v>11</v>
      </c>
      <c r="B441" s="153"/>
      <c r="C441" s="154"/>
      <c r="D441" s="150"/>
      <c r="E441" s="162"/>
      <c r="F441" s="163"/>
      <c r="G441" s="150"/>
      <c r="H441" s="61">
        <f>SUM(H442)</f>
        <v>1511314</v>
      </c>
      <c r="I441" s="61">
        <f>SUM(I442)</f>
        <v>607333</v>
      </c>
      <c r="J441" s="61">
        <f>SUM(J442)</f>
        <v>761454</v>
      </c>
      <c r="K441" s="61"/>
      <c r="L441" s="61"/>
      <c r="M441" s="88"/>
      <c r="N441" s="88"/>
      <c r="O441" s="88"/>
      <c r="P441" s="88"/>
      <c r="Q441" s="88"/>
      <c r="R441" s="88"/>
      <c r="S441" s="88"/>
      <c r="T441" s="88"/>
      <c r="U441" s="88"/>
      <c r="V441" s="88"/>
      <c r="W441" s="88"/>
    </row>
    <row r="442" spans="1:23" s="17" customFormat="1" ht="15">
      <c r="A442" s="96"/>
      <c r="B442" s="184" t="s">
        <v>25</v>
      </c>
      <c r="C442" s="185"/>
      <c r="D442" s="151"/>
      <c r="E442" s="164"/>
      <c r="F442" s="165"/>
      <c r="G442" s="151"/>
      <c r="H442" s="61">
        <v>1511314</v>
      </c>
      <c r="I442" s="61">
        <v>607333</v>
      </c>
      <c r="J442" s="61">
        <v>761454</v>
      </c>
      <c r="K442" s="61"/>
      <c r="L442" s="61"/>
      <c r="M442" s="88"/>
      <c r="N442" s="88"/>
      <c r="O442" s="88"/>
      <c r="P442" s="88"/>
      <c r="Q442" s="88"/>
      <c r="R442" s="88"/>
      <c r="S442" s="88"/>
      <c r="T442" s="88"/>
      <c r="U442" s="88"/>
      <c r="V442" s="88"/>
      <c r="W442" s="88"/>
    </row>
    <row r="443" spans="1:23" s="17" customFormat="1" ht="50.25" customHeight="1">
      <c r="A443" s="69">
        <v>41</v>
      </c>
      <c r="B443" s="77" t="s">
        <v>107</v>
      </c>
      <c r="C443" s="90" t="s">
        <v>108</v>
      </c>
      <c r="D443" s="149" t="s">
        <v>183</v>
      </c>
      <c r="E443" s="270" t="s">
        <v>318</v>
      </c>
      <c r="F443" s="161"/>
      <c r="G443" s="149" t="s">
        <v>134</v>
      </c>
      <c r="H443" s="68">
        <f>SUM(H444,H445)</f>
        <v>5805000</v>
      </c>
      <c r="I443" s="68">
        <f t="shared" ref="I443:K443" si="183">SUM(I444:I445)</f>
        <v>210000</v>
      </c>
      <c r="J443" s="68">
        <f t="shared" si="183"/>
        <v>3200000</v>
      </c>
      <c r="K443" s="68">
        <f t="shared" si="183"/>
        <v>2159491</v>
      </c>
      <c r="L443" s="68"/>
      <c r="M443" s="93"/>
      <c r="N443" s="93"/>
      <c r="O443" s="93"/>
      <c r="P443" s="93"/>
      <c r="Q443" s="93"/>
      <c r="R443" s="93"/>
      <c r="S443" s="93"/>
      <c r="T443" s="93"/>
      <c r="U443" s="93"/>
      <c r="V443" s="93"/>
      <c r="W443" s="79">
        <v>0</v>
      </c>
    </row>
    <row r="444" spans="1:23" s="17" customFormat="1" ht="15">
      <c r="A444" s="152" t="s">
        <v>3</v>
      </c>
      <c r="B444" s="153"/>
      <c r="C444" s="154"/>
      <c r="D444" s="150"/>
      <c r="E444" s="162"/>
      <c r="F444" s="163"/>
      <c r="G444" s="150"/>
      <c r="H444" s="61"/>
      <c r="I444" s="61"/>
      <c r="J444" s="61"/>
      <c r="K444" s="61"/>
      <c r="L444" s="61"/>
      <c r="M444" s="88"/>
      <c r="N444" s="88"/>
      <c r="O444" s="88"/>
      <c r="P444" s="88"/>
      <c r="Q444" s="88"/>
      <c r="R444" s="88"/>
      <c r="S444" s="88"/>
      <c r="T444" s="88"/>
      <c r="U444" s="88"/>
      <c r="V444" s="88"/>
      <c r="W444" s="88"/>
    </row>
    <row r="445" spans="1:23" s="17" customFormat="1" ht="15">
      <c r="A445" s="152" t="s">
        <v>11</v>
      </c>
      <c r="B445" s="153"/>
      <c r="C445" s="154"/>
      <c r="D445" s="150"/>
      <c r="E445" s="162"/>
      <c r="F445" s="163"/>
      <c r="G445" s="150"/>
      <c r="H445" s="61">
        <f>H446</f>
        <v>5805000</v>
      </c>
      <c r="I445" s="61">
        <f>SUM(I446:I446)</f>
        <v>210000</v>
      </c>
      <c r="J445" s="61">
        <f>SUM(J446:J446)</f>
        <v>3200000</v>
      </c>
      <c r="K445" s="61">
        <f>SUM(K446:K446)</f>
        <v>2159491</v>
      </c>
      <c r="L445" s="61"/>
      <c r="M445" s="88"/>
      <c r="N445" s="88"/>
      <c r="O445" s="88"/>
      <c r="P445" s="88"/>
      <c r="Q445" s="88"/>
      <c r="R445" s="88"/>
      <c r="S445" s="88"/>
      <c r="T445" s="88"/>
      <c r="U445" s="88"/>
      <c r="V445" s="88"/>
      <c r="W445" s="88"/>
    </row>
    <row r="446" spans="1:23" s="17" customFormat="1" ht="15">
      <c r="A446" s="96"/>
      <c r="B446" s="184" t="s">
        <v>25</v>
      </c>
      <c r="C446" s="185"/>
      <c r="D446" s="151"/>
      <c r="E446" s="164"/>
      <c r="F446" s="165"/>
      <c r="G446" s="151"/>
      <c r="H446" s="61">
        <v>5805000</v>
      </c>
      <c r="I446" s="61">
        <v>210000</v>
      </c>
      <c r="J446" s="61">
        <v>3200000</v>
      </c>
      <c r="K446" s="61">
        <v>2159491</v>
      </c>
      <c r="L446" s="61"/>
      <c r="M446" s="88"/>
      <c r="N446" s="88"/>
      <c r="O446" s="88"/>
      <c r="P446" s="88"/>
      <c r="Q446" s="88"/>
      <c r="R446" s="88"/>
      <c r="S446" s="88"/>
      <c r="T446" s="88"/>
      <c r="U446" s="88"/>
      <c r="V446" s="88"/>
      <c r="W446" s="88"/>
    </row>
    <row r="447" spans="1:23" ht="15">
      <c r="A447" s="5"/>
      <c r="B447" s="16"/>
      <c r="C447" s="16"/>
      <c r="D447" s="5"/>
      <c r="E447" s="243"/>
      <c r="F447" s="244"/>
      <c r="G447" s="44"/>
      <c r="H447" s="57"/>
      <c r="I447" s="57"/>
      <c r="J447" s="57"/>
      <c r="K447" s="57"/>
      <c r="L447" s="57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</row>
    <row r="448" spans="1:23" s="37" customFormat="1" ht="29.25" customHeight="1">
      <c r="A448" s="225" t="s">
        <v>8</v>
      </c>
      <c r="B448" s="226"/>
      <c r="C448" s="226"/>
      <c r="D448" s="226"/>
      <c r="E448" s="226"/>
      <c r="F448" s="226"/>
      <c r="G448" s="227"/>
      <c r="H448" s="36">
        <f t="shared" ref="H448" si="184">SUM(H449:H450)</f>
        <v>11551044</v>
      </c>
      <c r="I448" s="36">
        <f t="shared" ref="I448:V448" si="185">SUM(I449:I450)</f>
        <v>3778010</v>
      </c>
      <c r="J448" s="36">
        <f t="shared" si="185"/>
        <v>4773681</v>
      </c>
      <c r="K448" s="36">
        <f t="shared" si="185"/>
        <v>1831015</v>
      </c>
      <c r="L448" s="36">
        <f t="shared" si="185"/>
        <v>219838</v>
      </c>
      <c r="M448" s="36">
        <f t="shared" si="185"/>
        <v>0</v>
      </c>
      <c r="N448" s="36">
        <f t="shared" si="185"/>
        <v>0</v>
      </c>
      <c r="O448" s="36">
        <f t="shared" si="185"/>
        <v>0</v>
      </c>
      <c r="P448" s="36">
        <f t="shared" si="185"/>
        <v>0</v>
      </c>
      <c r="Q448" s="36">
        <f t="shared" si="185"/>
        <v>0</v>
      </c>
      <c r="R448" s="36">
        <f t="shared" si="185"/>
        <v>0</v>
      </c>
      <c r="S448" s="36">
        <f t="shared" si="185"/>
        <v>0</v>
      </c>
      <c r="T448" s="36">
        <f t="shared" si="185"/>
        <v>0</v>
      </c>
      <c r="U448" s="36">
        <f t="shared" si="185"/>
        <v>0</v>
      </c>
      <c r="V448" s="36">
        <f t="shared" si="185"/>
        <v>0</v>
      </c>
      <c r="W448" s="51">
        <f>SUM(W451,W455,W464,W468,W472,W476,W480,W484,W488,W492,W496,W500,W504,W508,W512,W516,W520,W460,)</f>
        <v>6689143</v>
      </c>
    </row>
    <row r="449" spans="1:23" s="37" customFormat="1" ht="15">
      <c r="A449" s="228" t="s">
        <v>3</v>
      </c>
      <c r="B449" s="229"/>
      <c r="C449" s="230"/>
      <c r="D449" s="35"/>
      <c r="E449" s="231"/>
      <c r="F449" s="232"/>
      <c r="G449" s="45"/>
      <c r="H449" s="36">
        <f>SUM(H452,H456,H469,H473,H477,H481,H485,H489,H493,H497,H501,H505,H509,H513,H517,H521,H465,H461)</f>
        <v>11551044</v>
      </c>
      <c r="I449" s="36">
        <f>SUM(I452,I456,I469,I473,I477,I481,I485,I489,I493,I497,I501,I505,I509,I513,I517,I521,I465,I461)</f>
        <v>3778010</v>
      </c>
      <c r="J449" s="36">
        <f t="shared" ref="J449:V449" si="186">SUM(J452,J456,J469,J473,J477,J481,J485,J489,J493,J497,J501,J505,J509,J513,J517,J521,J465,J461)</f>
        <v>4773681</v>
      </c>
      <c r="K449" s="36">
        <f t="shared" si="186"/>
        <v>1831015</v>
      </c>
      <c r="L449" s="36">
        <f t="shared" si="186"/>
        <v>219838</v>
      </c>
      <c r="M449" s="36">
        <f t="shared" si="186"/>
        <v>0</v>
      </c>
      <c r="N449" s="36">
        <f t="shared" si="186"/>
        <v>0</v>
      </c>
      <c r="O449" s="36">
        <f t="shared" si="186"/>
        <v>0</v>
      </c>
      <c r="P449" s="36">
        <f t="shared" si="186"/>
        <v>0</v>
      </c>
      <c r="Q449" s="36">
        <f t="shared" si="186"/>
        <v>0</v>
      </c>
      <c r="R449" s="36">
        <f t="shared" si="186"/>
        <v>0</v>
      </c>
      <c r="S449" s="36">
        <f t="shared" si="186"/>
        <v>0</v>
      </c>
      <c r="T449" s="36">
        <f t="shared" si="186"/>
        <v>0</v>
      </c>
      <c r="U449" s="36">
        <f t="shared" si="186"/>
        <v>0</v>
      </c>
      <c r="V449" s="36">
        <f t="shared" si="186"/>
        <v>0</v>
      </c>
      <c r="W449" s="36"/>
    </row>
    <row r="450" spans="1:23" s="37" customFormat="1" ht="15">
      <c r="A450" s="228" t="s">
        <v>4</v>
      </c>
      <c r="B450" s="229"/>
      <c r="C450" s="230"/>
      <c r="D450" s="35"/>
      <c r="E450" s="231"/>
      <c r="F450" s="232"/>
      <c r="G450" s="45"/>
      <c r="H450" s="36">
        <f>SUM(H454)</f>
        <v>0</v>
      </c>
      <c r="I450" s="36">
        <f t="shared" ref="I450:V450" si="187">SUM(I454)</f>
        <v>0</v>
      </c>
      <c r="J450" s="36">
        <f t="shared" si="187"/>
        <v>0</v>
      </c>
      <c r="K450" s="36">
        <f t="shared" si="187"/>
        <v>0</v>
      </c>
      <c r="L450" s="36">
        <f t="shared" si="187"/>
        <v>0</v>
      </c>
      <c r="M450" s="36">
        <f t="shared" si="187"/>
        <v>0</v>
      </c>
      <c r="N450" s="36">
        <f t="shared" si="187"/>
        <v>0</v>
      </c>
      <c r="O450" s="36">
        <f t="shared" si="187"/>
        <v>0</v>
      </c>
      <c r="P450" s="36">
        <f t="shared" si="187"/>
        <v>0</v>
      </c>
      <c r="Q450" s="36">
        <f t="shared" si="187"/>
        <v>0</v>
      </c>
      <c r="R450" s="36">
        <f t="shared" si="187"/>
        <v>0</v>
      </c>
      <c r="S450" s="36">
        <f t="shared" si="187"/>
        <v>0</v>
      </c>
      <c r="T450" s="36">
        <f t="shared" si="187"/>
        <v>0</v>
      </c>
      <c r="U450" s="36">
        <f t="shared" si="187"/>
        <v>0</v>
      </c>
      <c r="V450" s="36">
        <f t="shared" si="187"/>
        <v>0</v>
      </c>
      <c r="W450" s="36"/>
    </row>
    <row r="451" spans="1:23" s="17" customFormat="1" ht="45">
      <c r="A451" s="69">
        <v>1</v>
      </c>
      <c r="B451" s="69" t="s">
        <v>154</v>
      </c>
      <c r="C451" s="69" t="s">
        <v>155</v>
      </c>
      <c r="D451" s="149" t="s">
        <v>145</v>
      </c>
      <c r="E451" s="172" t="s">
        <v>36</v>
      </c>
      <c r="F451" s="161"/>
      <c r="G451" s="149" t="s">
        <v>119</v>
      </c>
      <c r="H451" s="68">
        <f>SUM(H452,H454)</f>
        <v>4937400</v>
      </c>
      <c r="I451" s="68">
        <f t="shared" ref="I451:K451" si="188">SUM(I452,I454)</f>
        <v>2219000</v>
      </c>
      <c r="J451" s="68">
        <f t="shared" si="188"/>
        <v>2594200</v>
      </c>
      <c r="K451" s="68">
        <f t="shared" si="188"/>
        <v>124200</v>
      </c>
      <c r="L451" s="68"/>
      <c r="M451" s="68"/>
      <c r="N451" s="68"/>
      <c r="O451" s="68"/>
      <c r="P451" s="68"/>
      <c r="Q451" s="68"/>
      <c r="R451" s="68"/>
      <c r="S451" s="68"/>
      <c r="T451" s="68"/>
      <c r="U451" s="68"/>
      <c r="V451" s="68"/>
      <c r="W451" s="68">
        <f>2811400-2424605+2226000</f>
        <v>2612795</v>
      </c>
    </row>
    <row r="452" spans="1:23" s="17" customFormat="1" ht="15">
      <c r="A452" s="152" t="s">
        <v>12</v>
      </c>
      <c r="B452" s="153"/>
      <c r="C452" s="154"/>
      <c r="D452" s="150"/>
      <c r="E452" s="162"/>
      <c r="F452" s="163"/>
      <c r="G452" s="150"/>
      <c r="H452" s="61">
        <f t="shared" ref="H452:K452" si="189">SUM(H453:H453)</f>
        <v>4937400</v>
      </c>
      <c r="I452" s="61">
        <f t="shared" si="189"/>
        <v>2219000</v>
      </c>
      <c r="J452" s="61">
        <f t="shared" si="189"/>
        <v>2594200</v>
      </c>
      <c r="K452" s="61">
        <f t="shared" si="189"/>
        <v>124200</v>
      </c>
      <c r="L452" s="61"/>
      <c r="M452" s="61"/>
      <c r="N452" s="61"/>
      <c r="O452" s="61"/>
      <c r="P452" s="61"/>
      <c r="Q452" s="61"/>
      <c r="R452" s="61"/>
      <c r="S452" s="61"/>
      <c r="T452" s="61"/>
      <c r="U452" s="61"/>
      <c r="V452" s="61"/>
      <c r="W452" s="61"/>
    </row>
    <row r="453" spans="1:23" s="17" customFormat="1" ht="15">
      <c r="A453" s="85"/>
      <c r="B453" s="155" t="s">
        <v>25</v>
      </c>
      <c r="C453" s="156"/>
      <c r="D453" s="150"/>
      <c r="E453" s="162"/>
      <c r="F453" s="163"/>
      <c r="G453" s="150"/>
      <c r="H453" s="61">
        <v>4937400</v>
      </c>
      <c r="I453" s="61">
        <v>2219000</v>
      </c>
      <c r="J453" s="61">
        <v>2594200</v>
      </c>
      <c r="K453" s="61">
        <v>124200</v>
      </c>
      <c r="L453" s="61"/>
      <c r="M453" s="61"/>
      <c r="N453" s="61"/>
      <c r="O453" s="61"/>
      <c r="P453" s="61"/>
      <c r="Q453" s="61"/>
      <c r="R453" s="61"/>
      <c r="S453" s="61"/>
      <c r="T453" s="61"/>
      <c r="U453" s="61"/>
      <c r="V453" s="61"/>
      <c r="W453" s="61"/>
    </row>
    <row r="454" spans="1:23" s="17" customFormat="1" ht="15">
      <c r="A454" s="157" t="s">
        <v>4</v>
      </c>
      <c r="B454" s="158"/>
      <c r="C454" s="159"/>
      <c r="D454" s="151"/>
      <c r="E454" s="164"/>
      <c r="F454" s="165"/>
      <c r="G454" s="151"/>
      <c r="H454" s="61"/>
      <c r="I454" s="61"/>
      <c r="J454" s="61"/>
      <c r="K454" s="61"/>
      <c r="L454" s="61"/>
      <c r="M454" s="61"/>
      <c r="N454" s="61"/>
      <c r="O454" s="61"/>
      <c r="P454" s="61"/>
      <c r="Q454" s="61"/>
      <c r="R454" s="61"/>
      <c r="S454" s="61"/>
      <c r="T454" s="61"/>
      <c r="U454" s="61"/>
      <c r="V454" s="61"/>
      <c r="W454" s="61"/>
    </row>
    <row r="455" spans="1:23" s="55" customFormat="1" ht="78" customHeight="1">
      <c r="A455" s="58">
        <v>2</v>
      </c>
      <c r="B455" s="81" t="s">
        <v>168</v>
      </c>
      <c r="C455" s="58" t="s">
        <v>155</v>
      </c>
      <c r="D455" s="199" t="s">
        <v>181</v>
      </c>
      <c r="E455" s="202" t="s">
        <v>36</v>
      </c>
      <c r="F455" s="203"/>
      <c r="G455" s="199" t="s">
        <v>169</v>
      </c>
      <c r="H455" s="59">
        <f>SUM(H456,H459)</f>
        <v>3869021</v>
      </c>
      <c r="I455" s="59">
        <f t="shared" ref="I455:K455" si="190">SUM(I456,I459)</f>
        <v>967470</v>
      </c>
      <c r="J455" s="59">
        <f t="shared" si="190"/>
        <v>986819</v>
      </c>
      <c r="K455" s="59">
        <f t="shared" si="190"/>
        <v>966232</v>
      </c>
      <c r="L455" s="59"/>
      <c r="M455" s="59"/>
      <c r="N455" s="59"/>
      <c r="O455" s="59"/>
      <c r="P455" s="59"/>
      <c r="Q455" s="59"/>
      <c r="R455" s="59"/>
      <c r="S455" s="59"/>
      <c r="T455" s="59"/>
      <c r="U455" s="59"/>
      <c r="V455" s="59"/>
      <c r="W455" s="30">
        <f>2920521-997256</f>
        <v>1923265</v>
      </c>
    </row>
    <row r="456" spans="1:23" s="55" customFormat="1" ht="15">
      <c r="A456" s="166" t="s">
        <v>12</v>
      </c>
      <c r="B456" s="167"/>
      <c r="C456" s="168"/>
      <c r="D456" s="200"/>
      <c r="E456" s="204"/>
      <c r="F456" s="205"/>
      <c r="G456" s="200"/>
      <c r="H456" s="57">
        <f>SUM(H457:H458)</f>
        <v>3869021</v>
      </c>
      <c r="I456" s="57">
        <f t="shared" ref="I456:K456" si="191">SUM(I457:I458)</f>
        <v>967470</v>
      </c>
      <c r="J456" s="57">
        <f t="shared" si="191"/>
        <v>986819</v>
      </c>
      <c r="K456" s="57">
        <f t="shared" si="191"/>
        <v>966232</v>
      </c>
      <c r="L456" s="57"/>
      <c r="M456" s="57"/>
      <c r="N456" s="57"/>
      <c r="O456" s="57"/>
      <c r="P456" s="57"/>
      <c r="Q456" s="57"/>
      <c r="R456" s="57"/>
      <c r="S456" s="57"/>
      <c r="T456" s="57"/>
      <c r="U456" s="57"/>
      <c r="V456" s="57"/>
      <c r="W456" s="24"/>
    </row>
    <row r="457" spans="1:23" s="55" customFormat="1" ht="15">
      <c r="A457" s="13"/>
      <c r="B457" s="197" t="s">
        <v>25</v>
      </c>
      <c r="C457" s="198"/>
      <c r="D457" s="200"/>
      <c r="E457" s="204"/>
      <c r="F457" s="205"/>
      <c r="G457" s="200"/>
      <c r="H457" s="57">
        <v>983895</v>
      </c>
      <c r="I457" s="57">
        <v>253470</v>
      </c>
      <c r="J457" s="57">
        <v>258539</v>
      </c>
      <c r="K457" s="57">
        <v>223386</v>
      </c>
      <c r="L457" s="57"/>
      <c r="M457" s="57"/>
      <c r="N457" s="57"/>
      <c r="O457" s="57"/>
      <c r="P457" s="57"/>
      <c r="Q457" s="57"/>
      <c r="R457" s="57"/>
      <c r="S457" s="57"/>
      <c r="T457" s="57"/>
      <c r="U457" s="57"/>
      <c r="V457" s="57"/>
      <c r="W457" s="24"/>
    </row>
    <row r="458" spans="1:23" s="55" customFormat="1" ht="15">
      <c r="A458" s="13"/>
      <c r="B458" s="197" t="s">
        <v>24</v>
      </c>
      <c r="C458" s="198"/>
      <c r="D458" s="200"/>
      <c r="E458" s="204"/>
      <c r="F458" s="205"/>
      <c r="G458" s="200"/>
      <c r="H458" s="57">
        <v>2885126</v>
      </c>
      <c r="I458" s="57">
        <v>714000</v>
      </c>
      <c r="J458" s="57">
        <v>728280</v>
      </c>
      <c r="K458" s="57">
        <v>742846</v>
      </c>
      <c r="L458" s="57"/>
      <c r="M458" s="57"/>
      <c r="N458" s="57"/>
      <c r="O458" s="57"/>
      <c r="P458" s="57"/>
      <c r="Q458" s="57"/>
      <c r="R458" s="57"/>
      <c r="S458" s="57"/>
      <c r="T458" s="57"/>
      <c r="U458" s="57"/>
      <c r="V458" s="57"/>
      <c r="W458" s="24"/>
    </row>
    <row r="459" spans="1:23" s="55" customFormat="1" ht="15">
      <c r="A459" s="179" t="s">
        <v>4</v>
      </c>
      <c r="B459" s="180"/>
      <c r="C459" s="181"/>
      <c r="D459" s="201"/>
      <c r="E459" s="206"/>
      <c r="F459" s="207"/>
      <c r="G459" s="201"/>
      <c r="H459" s="57"/>
      <c r="I459" s="57"/>
      <c r="J459" s="57"/>
      <c r="K459" s="57"/>
      <c r="L459" s="57"/>
      <c r="M459" s="57"/>
      <c r="N459" s="57"/>
      <c r="O459" s="57"/>
      <c r="P459" s="57"/>
      <c r="Q459" s="57"/>
      <c r="R459" s="57"/>
      <c r="S459" s="57"/>
      <c r="T459" s="57"/>
      <c r="U459" s="57"/>
      <c r="V459" s="57"/>
      <c r="W459" s="24"/>
    </row>
    <row r="460" spans="1:23" s="17" customFormat="1" ht="60">
      <c r="A460" s="69">
        <v>3</v>
      </c>
      <c r="B460" s="118" t="s">
        <v>309</v>
      </c>
      <c r="C460" s="69" t="s">
        <v>155</v>
      </c>
      <c r="D460" s="272" t="s">
        <v>310</v>
      </c>
      <c r="E460" s="271" t="s">
        <v>167</v>
      </c>
      <c r="F460" s="161"/>
      <c r="G460" s="272" t="s">
        <v>311</v>
      </c>
      <c r="H460" s="68">
        <f>SUM(H461,H463)</f>
        <v>215320</v>
      </c>
      <c r="I460" s="68">
        <f t="shared" ref="I460:K460" si="192">SUM(I461,I463)</f>
        <v>69700</v>
      </c>
      <c r="J460" s="68">
        <f t="shared" si="192"/>
        <v>71770</v>
      </c>
      <c r="K460" s="68">
        <f t="shared" si="192"/>
        <v>73850</v>
      </c>
      <c r="L460" s="68"/>
      <c r="M460" s="68"/>
      <c r="N460" s="68"/>
      <c r="O460" s="68"/>
      <c r="P460" s="68"/>
      <c r="Q460" s="68"/>
      <c r="R460" s="68"/>
      <c r="S460" s="68"/>
      <c r="T460" s="68"/>
      <c r="U460" s="68"/>
      <c r="V460" s="68"/>
      <c r="W460" s="68">
        <v>145620</v>
      </c>
    </row>
    <row r="461" spans="1:23" s="17" customFormat="1" ht="15">
      <c r="A461" s="152" t="s">
        <v>12</v>
      </c>
      <c r="B461" s="153"/>
      <c r="C461" s="154"/>
      <c r="D461" s="150"/>
      <c r="E461" s="162"/>
      <c r="F461" s="163"/>
      <c r="G461" s="150"/>
      <c r="H461" s="61">
        <f>SUM(H462)</f>
        <v>215320</v>
      </c>
      <c r="I461" s="61">
        <f t="shared" ref="I461:K461" si="193">SUM(I462)</f>
        <v>69700</v>
      </c>
      <c r="J461" s="61">
        <f t="shared" si="193"/>
        <v>71770</v>
      </c>
      <c r="K461" s="61">
        <f t="shared" si="193"/>
        <v>73850</v>
      </c>
      <c r="L461" s="61"/>
      <c r="M461" s="61"/>
      <c r="N461" s="61"/>
      <c r="O461" s="61"/>
      <c r="P461" s="61"/>
      <c r="Q461" s="61"/>
      <c r="R461" s="61"/>
      <c r="S461" s="61"/>
      <c r="T461" s="61"/>
      <c r="U461" s="61"/>
      <c r="V461" s="61"/>
      <c r="W461" s="61"/>
    </row>
    <row r="462" spans="1:23" s="17" customFormat="1" ht="15">
      <c r="A462" s="85"/>
      <c r="B462" s="155" t="s">
        <v>25</v>
      </c>
      <c r="C462" s="156"/>
      <c r="D462" s="150"/>
      <c r="E462" s="162"/>
      <c r="F462" s="163"/>
      <c r="G462" s="150"/>
      <c r="H462" s="61">
        <v>215320</v>
      </c>
      <c r="I462" s="61">
        <v>69700</v>
      </c>
      <c r="J462" s="61">
        <v>71770</v>
      </c>
      <c r="K462" s="61">
        <v>73850</v>
      </c>
      <c r="L462" s="61"/>
      <c r="M462" s="61"/>
      <c r="N462" s="61"/>
      <c r="O462" s="61"/>
      <c r="P462" s="61"/>
      <c r="Q462" s="61"/>
      <c r="R462" s="61"/>
      <c r="S462" s="61"/>
      <c r="T462" s="61"/>
      <c r="U462" s="61"/>
      <c r="V462" s="61"/>
      <c r="W462" s="61"/>
    </row>
    <row r="463" spans="1:23" s="17" customFormat="1" ht="15">
      <c r="A463" s="157" t="s">
        <v>4</v>
      </c>
      <c r="B463" s="158"/>
      <c r="C463" s="159"/>
      <c r="D463" s="151"/>
      <c r="E463" s="164"/>
      <c r="F463" s="165"/>
      <c r="G463" s="151"/>
      <c r="H463" s="61"/>
      <c r="I463" s="61"/>
      <c r="J463" s="61"/>
      <c r="K463" s="61"/>
      <c r="L463" s="61"/>
      <c r="M463" s="61"/>
      <c r="N463" s="61"/>
      <c r="O463" s="61"/>
      <c r="P463" s="61"/>
      <c r="Q463" s="61"/>
      <c r="R463" s="61"/>
      <c r="S463" s="61"/>
      <c r="T463" s="61"/>
      <c r="U463" s="61"/>
      <c r="V463" s="61"/>
      <c r="W463" s="61"/>
    </row>
    <row r="464" spans="1:23" s="17" customFormat="1" ht="60">
      <c r="A464" s="69">
        <v>4</v>
      </c>
      <c r="B464" s="86" t="s">
        <v>276</v>
      </c>
      <c r="C464" s="69" t="s">
        <v>155</v>
      </c>
      <c r="D464" s="190" t="s">
        <v>264</v>
      </c>
      <c r="E464" s="160" t="s">
        <v>32</v>
      </c>
      <c r="F464" s="161"/>
      <c r="G464" s="190" t="s">
        <v>265</v>
      </c>
      <c r="H464" s="68">
        <f>SUM(H465,H467)</f>
        <v>36206</v>
      </c>
      <c r="I464" s="68">
        <f t="shared" ref="I464:L464" si="194">SUM(I465,I467)</f>
        <v>8654</v>
      </c>
      <c r="J464" s="68">
        <f t="shared" si="194"/>
        <v>8914</v>
      </c>
      <c r="K464" s="68">
        <f t="shared" si="194"/>
        <v>9181</v>
      </c>
      <c r="L464" s="68">
        <f t="shared" si="194"/>
        <v>9457</v>
      </c>
      <c r="M464" s="68"/>
      <c r="N464" s="68"/>
      <c r="O464" s="68"/>
      <c r="P464" s="68"/>
      <c r="Q464" s="68"/>
      <c r="R464" s="68"/>
      <c r="S464" s="68"/>
      <c r="T464" s="68"/>
      <c r="U464" s="68"/>
      <c r="V464" s="68"/>
      <c r="W464" s="68">
        <v>27552</v>
      </c>
    </row>
    <row r="465" spans="1:23" s="17" customFormat="1" ht="15">
      <c r="A465" s="152" t="s">
        <v>12</v>
      </c>
      <c r="B465" s="153"/>
      <c r="C465" s="154"/>
      <c r="D465" s="150"/>
      <c r="E465" s="162"/>
      <c r="F465" s="163"/>
      <c r="G465" s="150"/>
      <c r="H465" s="61">
        <f>SUM(H466)</f>
        <v>36206</v>
      </c>
      <c r="I465" s="61">
        <f t="shared" ref="I465:L465" si="195">SUM(I466)</f>
        <v>8654</v>
      </c>
      <c r="J465" s="61">
        <f t="shared" si="195"/>
        <v>8914</v>
      </c>
      <c r="K465" s="61">
        <f t="shared" si="195"/>
        <v>9181</v>
      </c>
      <c r="L465" s="61">
        <f t="shared" si="195"/>
        <v>9457</v>
      </c>
      <c r="M465" s="61"/>
      <c r="N465" s="61"/>
      <c r="O465" s="61"/>
      <c r="P465" s="61"/>
      <c r="Q465" s="61"/>
      <c r="R465" s="61"/>
      <c r="S465" s="61"/>
      <c r="T465" s="61"/>
      <c r="U465" s="61"/>
      <c r="V465" s="61"/>
      <c r="W465" s="61"/>
    </row>
    <row r="466" spans="1:23" s="17" customFormat="1" ht="15">
      <c r="A466" s="85"/>
      <c r="B466" s="155" t="s">
        <v>25</v>
      </c>
      <c r="C466" s="156"/>
      <c r="D466" s="150"/>
      <c r="E466" s="162"/>
      <c r="F466" s="163"/>
      <c r="G466" s="150"/>
      <c r="H466" s="61">
        <v>36206</v>
      </c>
      <c r="I466" s="61">
        <v>8654</v>
      </c>
      <c r="J466" s="61">
        <v>8914</v>
      </c>
      <c r="K466" s="61">
        <v>9181</v>
      </c>
      <c r="L466" s="61">
        <v>9457</v>
      </c>
      <c r="M466" s="61"/>
      <c r="N466" s="61"/>
      <c r="O466" s="61"/>
      <c r="P466" s="61"/>
      <c r="Q466" s="61"/>
      <c r="R466" s="61"/>
      <c r="S466" s="61"/>
      <c r="T466" s="61"/>
      <c r="U466" s="61"/>
      <c r="V466" s="61"/>
      <c r="W466" s="61"/>
    </row>
    <row r="467" spans="1:23" s="17" customFormat="1" ht="15">
      <c r="A467" s="157" t="s">
        <v>4</v>
      </c>
      <c r="B467" s="158"/>
      <c r="C467" s="159"/>
      <c r="D467" s="151"/>
      <c r="E467" s="164"/>
      <c r="F467" s="165"/>
      <c r="G467" s="151"/>
      <c r="H467" s="61"/>
      <c r="I467" s="61"/>
      <c r="J467" s="61"/>
      <c r="K467" s="61"/>
      <c r="L467" s="61"/>
      <c r="M467" s="61"/>
      <c r="N467" s="61"/>
      <c r="O467" s="61"/>
      <c r="P467" s="61"/>
      <c r="Q467" s="61"/>
      <c r="R467" s="61"/>
      <c r="S467" s="61"/>
      <c r="T467" s="61"/>
      <c r="U467" s="61"/>
      <c r="V467" s="61"/>
      <c r="W467" s="61"/>
    </row>
    <row r="468" spans="1:23" s="72" customFormat="1" ht="63" customHeight="1">
      <c r="A468" s="58">
        <v>5</v>
      </c>
      <c r="B468" s="58" t="s">
        <v>194</v>
      </c>
      <c r="C468" s="58" t="s">
        <v>155</v>
      </c>
      <c r="D468" s="199" t="s">
        <v>195</v>
      </c>
      <c r="E468" s="202" t="s">
        <v>196</v>
      </c>
      <c r="F468" s="203"/>
      <c r="G468" s="199" t="s">
        <v>197</v>
      </c>
      <c r="H468" s="70">
        <f>H469+H471</f>
        <v>702</v>
      </c>
      <c r="I468" s="70">
        <f t="shared" ref="I468:J468" si="196">I469+I471</f>
        <v>351</v>
      </c>
      <c r="J468" s="70">
        <f t="shared" si="196"/>
        <v>351</v>
      </c>
      <c r="K468" s="71"/>
      <c r="L468" s="70"/>
      <c r="M468" s="103"/>
      <c r="N468" s="103"/>
      <c r="O468" s="103"/>
      <c r="P468" s="103"/>
      <c r="Q468" s="103"/>
      <c r="R468" s="103"/>
      <c r="S468" s="103"/>
      <c r="T468" s="103"/>
      <c r="U468" s="103"/>
      <c r="V468" s="103"/>
      <c r="W468" s="7">
        <v>351</v>
      </c>
    </row>
    <row r="469" spans="1:23" s="72" customFormat="1" ht="15">
      <c r="A469" s="166" t="s">
        <v>12</v>
      </c>
      <c r="B469" s="167"/>
      <c r="C469" s="168"/>
      <c r="D469" s="200"/>
      <c r="E469" s="204"/>
      <c r="F469" s="205"/>
      <c r="G469" s="200"/>
      <c r="H469" s="70">
        <f>H470</f>
        <v>702</v>
      </c>
      <c r="I469" s="57">
        <f t="shared" ref="I469:J469" si="197">SUM(I470)</f>
        <v>351</v>
      </c>
      <c r="J469" s="57">
        <f t="shared" si="197"/>
        <v>351</v>
      </c>
      <c r="K469" s="57"/>
      <c r="L469" s="57"/>
      <c r="M469" s="103"/>
      <c r="N469" s="103"/>
      <c r="O469" s="103"/>
      <c r="P469" s="103"/>
      <c r="Q469" s="103"/>
      <c r="R469" s="103"/>
      <c r="S469" s="103"/>
      <c r="T469" s="103"/>
      <c r="U469" s="103"/>
      <c r="V469" s="103"/>
      <c r="W469" s="7"/>
    </row>
    <row r="470" spans="1:23" s="72" customFormat="1" ht="15">
      <c r="A470" s="63"/>
      <c r="B470" s="182" t="s">
        <v>25</v>
      </c>
      <c r="C470" s="183"/>
      <c r="D470" s="200"/>
      <c r="E470" s="204"/>
      <c r="F470" s="205"/>
      <c r="G470" s="200"/>
      <c r="H470" s="57">
        <f>SUM(I470:L470)</f>
        <v>702</v>
      </c>
      <c r="I470" s="57">
        <v>351</v>
      </c>
      <c r="J470" s="57">
        <v>351</v>
      </c>
      <c r="K470" s="57"/>
      <c r="L470" s="57"/>
      <c r="M470" s="103"/>
      <c r="N470" s="103"/>
      <c r="O470" s="103"/>
      <c r="P470" s="103"/>
      <c r="Q470" s="103"/>
      <c r="R470" s="103"/>
      <c r="S470" s="103"/>
      <c r="T470" s="103"/>
      <c r="U470" s="103"/>
      <c r="V470" s="103"/>
      <c r="W470" s="7"/>
    </row>
    <row r="471" spans="1:23" s="72" customFormat="1" ht="15">
      <c r="A471" s="179" t="s">
        <v>4</v>
      </c>
      <c r="B471" s="180"/>
      <c r="C471" s="181"/>
      <c r="D471" s="201"/>
      <c r="E471" s="206"/>
      <c r="F471" s="207"/>
      <c r="G471" s="201"/>
      <c r="H471" s="57"/>
      <c r="I471" s="57"/>
      <c r="J471" s="57"/>
      <c r="K471" s="57"/>
      <c r="L471" s="57"/>
      <c r="M471" s="103"/>
      <c r="N471" s="103"/>
      <c r="O471" s="103"/>
      <c r="P471" s="103"/>
      <c r="Q471" s="103"/>
      <c r="R471" s="103"/>
      <c r="S471" s="103"/>
      <c r="T471" s="103"/>
      <c r="U471" s="103"/>
      <c r="V471" s="103"/>
      <c r="W471" s="7"/>
    </row>
    <row r="472" spans="1:23" s="72" customFormat="1" ht="57" customHeight="1">
      <c r="A472" s="58">
        <v>6</v>
      </c>
      <c r="B472" s="58" t="s">
        <v>198</v>
      </c>
      <c r="C472" s="58" t="s">
        <v>155</v>
      </c>
      <c r="D472" s="199" t="s">
        <v>199</v>
      </c>
      <c r="E472" s="202" t="s">
        <v>200</v>
      </c>
      <c r="F472" s="203"/>
      <c r="G472" s="199" t="s">
        <v>197</v>
      </c>
      <c r="H472" s="70">
        <f>H473+H475</f>
        <v>36088</v>
      </c>
      <c r="I472" s="70">
        <f>I473+I475</f>
        <v>17901</v>
      </c>
      <c r="J472" s="70">
        <f t="shared" ref="J472:K472" si="198">J473+J475</f>
        <v>17901</v>
      </c>
      <c r="K472" s="70">
        <f t="shared" si="198"/>
        <v>286</v>
      </c>
      <c r="L472" s="70"/>
      <c r="M472" s="103"/>
      <c r="N472" s="103"/>
      <c r="O472" s="103"/>
      <c r="P472" s="103"/>
      <c r="Q472" s="103"/>
      <c r="R472" s="103"/>
      <c r="S472" s="103"/>
      <c r="T472" s="103"/>
      <c r="U472" s="103"/>
      <c r="V472" s="103"/>
      <c r="W472" s="7">
        <v>18187</v>
      </c>
    </row>
    <row r="473" spans="1:23" s="72" customFormat="1" ht="15">
      <c r="A473" s="166" t="s">
        <v>12</v>
      </c>
      <c r="B473" s="167"/>
      <c r="C473" s="168"/>
      <c r="D473" s="200"/>
      <c r="E473" s="204"/>
      <c r="F473" s="205"/>
      <c r="G473" s="200"/>
      <c r="H473" s="57">
        <f>H474</f>
        <v>36088</v>
      </c>
      <c r="I473" s="57">
        <f>SUM(I474)</f>
        <v>17901</v>
      </c>
      <c r="J473" s="57">
        <f t="shared" ref="J473:K473" si="199">SUM(J474)</f>
        <v>17901</v>
      </c>
      <c r="K473" s="57">
        <f t="shared" si="199"/>
        <v>286</v>
      </c>
      <c r="L473" s="57"/>
      <c r="M473" s="103"/>
      <c r="N473" s="103"/>
      <c r="O473" s="103"/>
      <c r="P473" s="103"/>
      <c r="Q473" s="103"/>
      <c r="R473" s="103"/>
      <c r="S473" s="103"/>
      <c r="T473" s="103"/>
      <c r="U473" s="103"/>
      <c r="V473" s="103"/>
      <c r="W473" s="7"/>
    </row>
    <row r="474" spans="1:23" s="72" customFormat="1" ht="15">
      <c r="A474" s="63"/>
      <c r="B474" s="182" t="s">
        <v>25</v>
      </c>
      <c r="C474" s="183"/>
      <c r="D474" s="200"/>
      <c r="E474" s="204"/>
      <c r="F474" s="205"/>
      <c r="G474" s="200"/>
      <c r="H474" s="57">
        <f>SUM(I474:L474)</f>
        <v>36088</v>
      </c>
      <c r="I474" s="57">
        <v>17901</v>
      </c>
      <c r="J474" s="57">
        <v>17901</v>
      </c>
      <c r="K474" s="57">
        <v>286</v>
      </c>
      <c r="L474" s="57"/>
      <c r="M474" s="103"/>
      <c r="N474" s="103"/>
      <c r="O474" s="103"/>
      <c r="P474" s="103"/>
      <c r="Q474" s="103"/>
      <c r="R474" s="103"/>
      <c r="S474" s="103"/>
      <c r="T474" s="103"/>
      <c r="U474" s="103"/>
      <c r="V474" s="103"/>
      <c r="W474" s="7"/>
    </row>
    <row r="475" spans="1:23" s="72" customFormat="1" ht="15">
      <c r="A475" s="179" t="s">
        <v>4</v>
      </c>
      <c r="B475" s="180"/>
      <c r="C475" s="181"/>
      <c r="D475" s="201"/>
      <c r="E475" s="206"/>
      <c r="F475" s="207"/>
      <c r="G475" s="201"/>
      <c r="H475" s="57"/>
      <c r="I475" s="57"/>
      <c r="J475" s="57"/>
      <c r="K475" s="57"/>
      <c r="L475" s="57"/>
      <c r="M475" s="103"/>
      <c r="N475" s="103"/>
      <c r="O475" s="103"/>
      <c r="P475" s="103"/>
      <c r="Q475" s="103"/>
      <c r="R475" s="103"/>
      <c r="S475" s="103"/>
      <c r="T475" s="103"/>
      <c r="U475" s="103"/>
      <c r="V475" s="103"/>
      <c r="W475" s="7"/>
    </row>
    <row r="476" spans="1:23" s="72" customFormat="1" ht="68.25" customHeight="1">
      <c r="A476" s="58">
        <v>7</v>
      </c>
      <c r="B476" s="58" t="s">
        <v>201</v>
      </c>
      <c r="C476" s="58" t="s">
        <v>155</v>
      </c>
      <c r="D476" s="199" t="s">
        <v>202</v>
      </c>
      <c r="E476" s="202" t="s">
        <v>200</v>
      </c>
      <c r="F476" s="203"/>
      <c r="G476" s="199" t="s">
        <v>197</v>
      </c>
      <c r="H476" s="70">
        <f>H477+H479</f>
        <v>13800</v>
      </c>
      <c r="I476" s="70">
        <f t="shared" ref="I476:K476" si="200">I477+I479</f>
        <v>4600</v>
      </c>
      <c r="J476" s="70">
        <f t="shared" si="200"/>
        <v>4600</v>
      </c>
      <c r="K476" s="70">
        <f t="shared" si="200"/>
        <v>4600</v>
      </c>
      <c r="L476" s="70"/>
      <c r="M476" s="103"/>
      <c r="N476" s="103"/>
      <c r="O476" s="103"/>
      <c r="P476" s="103"/>
      <c r="Q476" s="103"/>
      <c r="R476" s="103"/>
      <c r="S476" s="103"/>
      <c r="T476" s="103"/>
      <c r="U476" s="103"/>
      <c r="V476" s="103"/>
      <c r="W476" s="7">
        <v>9200</v>
      </c>
    </row>
    <row r="477" spans="1:23" s="72" customFormat="1" ht="15">
      <c r="A477" s="166" t="s">
        <v>12</v>
      </c>
      <c r="B477" s="167"/>
      <c r="C477" s="168"/>
      <c r="D477" s="200"/>
      <c r="E477" s="204"/>
      <c r="F477" s="205"/>
      <c r="G477" s="200"/>
      <c r="H477" s="57">
        <f>SUM(I477:L477)</f>
        <v>13800</v>
      </c>
      <c r="I477" s="57">
        <f t="shared" ref="I477:K477" si="201">SUM(I478)</f>
        <v>4600</v>
      </c>
      <c r="J477" s="57">
        <f t="shared" si="201"/>
        <v>4600</v>
      </c>
      <c r="K477" s="57">
        <f t="shared" si="201"/>
        <v>4600</v>
      </c>
      <c r="L477" s="57"/>
      <c r="M477" s="103"/>
      <c r="N477" s="103"/>
      <c r="O477" s="103"/>
      <c r="P477" s="103"/>
      <c r="Q477" s="103"/>
      <c r="R477" s="103"/>
      <c r="S477" s="103"/>
      <c r="T477" s="103"/>
      <c r="U477" s="103"/>
      <c r="V477" s="103"/>
      <c r="W477" s="7"/>
    </row>
    <row r="478" spans="1:23" s="72" customFormat="1" ht="15">
      <c r="A478" s="63"/>
      <c r="B478" s="182" t="s">
        <v>25</v>
      </c>
      <c r="C478" s="183"/>
      <c r="D478" s="200"/>
      <c r="E478" s="204"/>
      <c r="F478" s="205"/>
      <c r="G478" s="200"/>
      <c r="H478" s="57">
        <f>SUM(I478:L478)</f>
        <v>13800</v>
      </c>
      <c r="I478" s="57">
        <v>4600</v>
      </c>
      <c r="J478" s="57">
        <v>4600</v>
      </c>
      <c r="K478" s="57">
        <v>4600</v>
      </c>
      <c r="L478" s="57"/>
      <c r="M478" s="103"/>
      <c r="N478" s="103"/>
      <c r="O478" s="103"/>
      <c r="P478" s="103"/>
      <c r="Q478" s="103"/>
      <c r="R478" s="103"/>
      <c r="S478" s="103"/>
      <c r="T478" s="103"/>
      <c r="U478" s="103"/>
      <c r="V478" s="103"/>
      <c r="W478" s="7"/>
    </row>
    <row r="479" spans="1:23" s="72" customFormat="1" ht="15">
      <c r="A479" s="179" t="s">
        <v>4</v>
      </c>
      <c r="B479" s="180"/>
      <c r="C479" s="181"/>
      <c r="D479" s="201"/>
      <c r="E479" s="206"/>
      <c r="F479" s="207"/>
      <c r="G479" s="201"/>
      <c r="H479" s="57"/>
      <c r="I479" s="57"/>
      <c r="J479" s="57"/>
      <c r="K479" s="57"/>
      <c r="L479" s="57"/>
      <c r="M479" s="103"/>
      <c r="N479" s="103"/>
      <c r="O479" s="103"/>
      <c r="P479" s="103"/>
      <c r="Q479" s="103"/>
      <c r="R479" s="103"/>
      <c r="S479" s="103"/>
      <c r="T479" s="103"/>
      <c r="U479" s="103"/>
      <c r="V479" s="103"/>
      <c r="W479" s="7"/>
    </row>
    <row r="480" spans="1:23" s="72" customFormat="1" ht="68.25" customHeight="1">
      <c r="A480" s="58">
        <v>8</v>
      </c>
      <c r="B480" s="58" t="s">
        <v>203</v>
      </c>
      <c r="C480" s="58" t="s">
        <v>155</v>
      </c>
      <c r="D480" s="199" t="s">
        <v>204</v>
      </c>
      <c r="E480" s="202" t="s">
        <v>196</v>
      </c>
      <c r="F480" s="203"/>
      <c r="G480" s="199" t="s">
        <v>226</v>
      </c>
      <c r="H480" s="70">
        <f>H481+H483</f>
        <v>16374</v>
      </c>
      <c r="I480" s="70">
        <f t="shared" ref="I480:J480" si="202">I481+I483</f>
        <v>8112</v>
      </c>
      <c r="J480" s="70">
        <f t="shared" si="202"/>
        <v>8262</v>
      </c>
      <c r="K480" s="70"/>
      <c r="L480" s="70"/>
      <c r="M480" s="103"/>
      <c r="N480" s="103"/>
      <c r="O480" s="103"/>
      <c r="P480" s="103"/>
      <c r="Q480" s="103"/>
      <c r="R480" s="103"/>
      <c r="S480" s="103"/>
      <c r="T480" s="103"/>
      <c r="U480" s="103"/>
      <c r="V480" s="103"/>
      <c r="W480" s="7">
        <v>8262</v>
      </c>
    </row>
    <row r="481" spans="1:23" s="72" customFormat="1" ht="15">
      <c r="A481" s="166" t="s">
        <v>12</v>
      </c>
      <c r="B481" s="167"/>
      <c r="C481" s="168"/>
      <c r="D481" s="200"/>
      <c r="E481" s="204"/>
      <c r="F481" s="205"/>
      <c r="G481" s="200"/>
      <c r="H481" s="57">
        <f>SUM(I481:L481)</f>
        <v>16374</v>
      </c>
      <c r="I481" s="57">
        <f t="shared" ref="I481:J481" si="203">I482</f>
        <v>8112</v>
      </c>
      <c r="J481" s="57">
        <f t="shared" si="203"/>
        <v>8262</v>
      </c>
      <c r="K481" s="57"/>
      <c r="L481" s="57"/>
      <c r="M481" s="103"/>
      <c r="N481" s="103"/>
      <c r="O481" s="103"/>
      <c r="P481" s="103"/>
      <c r="Q481" s="103"/>
      <c r="R481" s="103"/>
      <c r="S481" s="103"/>
      <c r="T481" s="103"/>
      <c r="U481" s="103"/>
      <c r="V481" s="103"/>
      <c r="W481" s="7"/>
    </row>
    <row r="482" spans="1:23" s="72" customFormat="1" ht="15">
      <c r="A482" s="63"/>
      <c r="B482" s="182" t="s">
        <v>25</v>
      </c>
      <c r="C482" s="183"/>
      <c r="D482" s="200"/>
      <c r="E482" s="204"/>
      <c r="F482" s="205"/>
      <c r="G482" s="200"/>
      <c r="H482" s="57">
        <v>16374</v>
      </c>
      <c r="I482" s="57">
        <v>8112</v>
      </c>
      <c r="J482" s="57">
        <v>8262</v>
      </c>
      <c r="K482" s="57"/>
      <c r="L482" s="57"/>
      <c r="M482" s="103"/>
      <c r="N482" s="103"/>
      <c r="O482" s="103"/>
      <c r="P482" s="103"/>
      <c r="Q482" s="103"/>
      <c r="R482" s="103"/>
      <c r="S482" s="103"/>
      <c r="T482" s="103"/>
      <c r="U482" s="103"/>
      <c r="V482" s="103"/>
      <c r="W482" s="7"/>
    </row>
    <row r="483" spans="1:23" s="72" customFormat="1" ht="15">
      <c r="A483" s="179" t="s">
        <v>4</v>
      </c>
      <c r="B483" s="180"/>
      <c r="C483" s="181"/>
      <c r="D483" s="201"/>
      <c r="E483" s="206"/>
      <c r="F483" s="207"/>
      <c r="G483" s="201"/>
      <c r="H483" s="57"/>
      <c r="I483" s="57"/>
      <c r="J483" s="57"/>
      <c r="K483" s="57"/>
      <c r="L483" s="57"/>
      <c r="M483" s="103"/>
      <c r="N483" s="103"/>
      <c r="O483" s="103"/>
      <c r="P483" s="103"/>
      <c r="Q483" s="103"/>
      <c r="R483" s="103"/>
      <c r="S483" s="103"/>
      <c r="T483" s="103"/>
      <c r="U483" s="103"/>
      <c r="V483" s="103"/>
      <c r="W483" s="7"/>
    </row>
    <row r="484" spans="1:23" s="72" customFormat="1" ht="64.5" customHeight="1">
      <c r="A484" s="58">
        <v>9</v>
      </c>
      <c r="B484" s="58" t="s">
        <v>205</v>
      </c>
      <c r="C484" s="58" t="s">
        <v>155</v>
      </c>
      <c r="D484" s="199" t="s">
        <v>206</v>
      </c>
      <c r="E484" s="202" t="s">
        <v>200</v>
      </c>
      <c r="F484" s="203"/>
      <c r="G484" s="199" t="s">
        <v>207</v>
      </c>
      <c r="H484" s="70">
        <f>H485+H487</f>
        <v>148157</v>
      </c>
      <c r="I484" s="70">
        <f t="shared" ref="I484:K484" si="204">I485+I487</f>
        <v>47934</v>
      </c>
      <c r="J484" s="70">
        <f t="shared" si="204"/>
        <v>49371</v>
      </c>
      <c r="K484" s="70">
        <f t="shared" si="204"/>
        <v>50852</v>
      </c>
      <c r="L484" s="70"/>
      <c r="M484" s="103"/>
      <c r="N484" s="103"/>
      <c r="O484" s="103"/>
      <c r="P484" s="103"/>
      <c r="Q484" s="103"/>
      <c r="R484" s="103"/>
      <c r="S484" s="103"/>
      <c r="T484" s="103"/>
      <c r="U484" s="103"/>
      <c r="V484" s="103"/>
      <c r="W484" s="7">
        <v>100223</v>
      </c>
    </row>
    <row r="485" spans="1:23" s="72" customFormat="1" ht="15">
      <c r="A485" s="166" t="s">
        <v>12</v>
      </c>
      <c r="B485" s="167"/>
      <c r="C485" s="168"/>
      <c r="D485" s="200"/>
      <c r="E485" s="204"/>
      <c r="F485" s="205"/>
      <c r="G485" s="200"/>
      <c r="H485" s="57">
        <f>SUM(I485:L485)</f>
        <v>148157</v>
      </c>
      <c r="I485" s="57">
        <f t="shared" ref="I485:K485" si="205">I486</f>
        <v>47934</v>
      </c>
      <c r="J485" s="57">
        <f t="shared" si="205"/>
        <v>49371</v>
      </c>
      <c r="K485" s="57">
        <f t="shared" si="205"/>
        <v>50852</v>
      </c>
      <c r="L485" s="57"/>
      <c r="M485" s="103"/>
      <c r="N485" s="103"/>
      <c r="O485" s="103"/>
      <c r="P485" s="103"/>
      <c r="Q485" s="103"/>
      <c r="R485" s="103"/>
      <c r="S485" s="103"/>
      <c r="T485" s="103"/>
      <c r="U485" s="103"/>
      <c r="V485" s="103"/>
      <c r="W485" s="7"/>
    </row>
    <row r="486" spans="1:23" s="72" customFormat="1" ht="15">
      <c r="A486" s="63"/>
      <c r="B486" s="182" t="s">
        <v>25</v>
      </c>
      <c r="C486" s="183"/>
      <c r="D486" s="200"/>
      <c r="E486" s="204"/>
      <c r="F486" s="205"/>
      <c r="G486" s="200"/>
      <c r="H486" s="57">
        <f>SUM(I486:L486)</f>
        <v>148157</v>
      </c>
      <c r="I486" s="57">
        <v>47934</v>
      </c>
      <c r="J486" s="57">
        <v>49371</v>
      </c>
      <c r="K486" s="57">
        <v>50852</v>
      </c>
      <c r="L486" s="57"/>
      <c r="M486" s="103"/>
      <c r="N486" s="103"/>
      <c r="O486" s="103"/>
      <c r="P486" s="103"/>
      <c r="Q486" s="103"/>
      <c r="R486" s="103"/>
      <c r="S486" s="103"/>
      <c r="T486" s="103"/>
      <c r="U486" s="103"/>
      <c r="V486" s="103"/>
      <c r="W486" s="7"/>
    </row>
    <row r="487" spans="1:23" s="72" customFormat="1" ht="15">
      <c r="A487" s="179" t="s">
        <v>4</v>
      </c>
      <c r="B487" s="180"/>
      <c r="C487" s="181"/>
      <c r="D487" s="201"/>
      <c r="E487" s="206"/>
      <c r="F487" s="207"/>
      <c r="G487" s="201"/>
      <c r="H487" s="57"/>
      <c r="I487" s="57"/>
      <c r="J487" s="57"/>
      <c r="K487" s="57"/>
      <c r="L487" s="57"/>
      <c r="M487" s="103"/>
      <c r="N487" s="103"/>
      <c r="O487" s="103"/>
      <c r="P487" s="103"/>
      <c r="Q487" s="103"/>
      <c r="R487" s="103"/>
      <c r="S487" s="103"/>
      <c r="T487" s="103"/>
      <c r="U487" s="103"/>
      <c r="V487" s="103"/>
      <c r="W487" s="7"/>
    </row>
    <row r="488" spans="1:23" s="72" customFormat="1" ht="60">
      <c r="A488" s="58">
        <v>10</v>
      </c>
      <c r="B488" s="58" t="s">
        <v>208</v>
      </c>
      <c r="C488" s="58" t="s">
        <v>155</v>
      </c>
      <c r="D488" s="199" t="s">
        <v>209</v>
      </c>
      <c r="E488" s="202" t="s">
        <v>196</v>
      </c>
      <c r="F488" s="203"/>
      <c r="G488" s="199" t="s">
        <v>207</v>
      </c>
      <c r="H488" s="70">
        <f>H489+H491</f>
        <v>3000</v>
      </c>
      <c r="I488" s="70">
        <f t="shared" ref="I488:J488" si="206">I489+I491</f>
        <v>1500</v>
      </c>
      <c r="J488" s="70">
        <f t="shared" si="206"/>
        <v>1500</v>
      </c>
      <c r="K488" s="70"/>
      <c r="L488" s="70"/>
      <c r="M488" s="103"/>
      <c r="N488" s="103"/>
      <c r="O488" s="103"/>
      <c r="P488" s="103"/>
      <c r="Q488" s="103"/>
      <c r="R488" s="103"/>
      <c r="S488" s="103"/>
      <c r="T488" s="103"/>
      <c r="U488" s="103"/>
      <c r="V488" s="103"/>
      <c r="W488" s="7">
        <v>1500</v>
      </c>
    </row>
    <row r="489" spans="1:23" s="72" customFormat="1" ht="15">
      <c r="A489" s="166" t="s">
        <v>12</v>
      </c>
      <c r="B489" s="167"/>
      <c r="C489" s="168"/>
      <c r="D489" s="200"/>
      <c r="E489" s="204"/>
      <c r="F489" s="205"/>
      <c r="G489" s="200"/>
      <c r="H489" s="57">
        <f>SUM(I489:L489)</f>
        <v>3000</v>
      </c>
      <c r="I489" s="57">
        <f t="shared" ref="I489:J489" si="207">I490</f>
        <v>1500</v>
      </c>
      <c r="J489" s="57">
        <f t="shared" si="207"/>
        <v>1500</v>
      </c>
      <c r="K489" s="57"/>
      <c r="L489" s="57"/>
      <c r="M489" s="103"/>
      <c r="N489" s="103"/>
      <c r="O489" s="103"/>
      <c r="P489" s="103"/>
      <c r="Q489" s="103"/>
      <c r="R489" s="103"/>
      <c r="S489" s="103"/>
      <c r="T489" s="103"/>
      <c r="U489" s="103"/>
      <c r="V489" s="103"/>
      <c r="W489" s="7"/>
    </row>
    <row r="490" spans="1:23" s="72" customFormat="1" ht="15">
      <c r="A490" s="63"/>
      <c r="B490" s="182" t="s">
        <v>25</v>
      </c>
      <c r="C490" s="183"/>
      <c r="D490" s="200"/>
      <c r="E490" s="204"/>
      <c r="F490" s="205"/>
      <c r="G490" s="200"/>
      <c r="H490" s="57">
        <f>SUM(I490:L490)</f>
        <v>3000</v>
      </c>
      <c r="I490" s="57">
        <v>1500</v>
      </c>
      <c r="J490" s="57">
        <v>1500</v>
      </c>
      <c r="K490" s="57"/>
      <c r="L490" s="57"/>
      <c r="M490" s="103"/>
      <c r="N490" s="103"/>
      <c r="O490" s="103"/>
      <c r="P490" s="103"/>
      <c r="Q490" s="103"/>
      <c r="R490" s="103"/>
      <c r="S490" s="103"/>
      <c r="T490" s="103"/>
      <c r="U490" s="103"/>
      <c r="V490" s="103"/>
      <c r="W490" s="7"/>
    </row>
    <row r="491" spans="1:23" s="72" customFormat="1" ht="15">
      <c r="A491" s="179" t="s">
        <v>4</v>
      </c>
      <c r="B491" s="180"/>
      <c r="C491" s="181"/>
      <c r="D491" s="201"/>
      <c r="E491" s="206"/>
      <c r="F491" s="207"/>
      <c r="G491" s="201"/>
      <c r="H491" s="57"/>
      <c r="I491" s="57"/>
      <c r="J491" s="57"/>
      <c r="K491" s="57"/>
      <c r="L491" s="57"/>
      <c r="M491" s="103"/>
      <c r="N491" s="103"/>
      <c r="O491" s="103"/>
      <c r="P491" s="103"/>
      <c r="Q491" s="103"/>
      <c r="R491" s="103"/>
      <c r="S491" s="103"/>
      <c r="T491" s="103"/>
      <c r="U491" s="103"/>
      <c r="V491" s="103"/>
      <c r="W491" s="7"/>
    </row>
    <row r="492" spans="1:23" s="72" customFormat="1" ht="60">
      <c r="A492" s="58">
        <v>11</v>
      </c>
      <c r="B492" s="58" t="s">
        <v>210</v>
      </c>
      <c r="C492" s="58" t="s">
        <v>155</v>
      </c>
      <c r="D492" s="199" t="s">
        <v>211</v>
      </c>
      <c r="E492" s="202" t="s">
        <v>200</v>
      </c>
      <c r="F492" s="203"/>
      <c r="G492" s="199" t="s">
        <v>207</v>
      </c>
      <c r="H492" s="70">
        <f>H493+H495</f>
        <v>100304</v>
      </c>
      <c r="I492" s="70">
        <f t="shared" ref="I492:K492" si="208">I493+I495</f>
        <v>32450</v>
      </c>
      <c r="J492" s="70">
        <f t="shared" si="208"/>
        <v>33424</v>
      </c>
      <c r="K492" s="70">
        <f t="shared" si="208"/>
        <v>34430</v>
      </c>
      <c r="L492" s="70"/>
      <c r="M492" s="103"/>
      <c r="N492" s="103"/>
      <c r="O492" s="103"/>
      <c r="P492" s="103"/>
      <c r="Q492" s="103"/>
      <c r="R492" s="103"/>
      <c r="S492" s="103"/>
      <c r="T492" s="103"/>
      <c r="U492" s="103"/>
      <c r="V492" s="103"/>
      <c r="W492" s="7">
        <v>67854</v>
      </c>
    </row>
    <row r="493" spans="1:23" s="72" customFormat="1" ht="15">
      <c r="A493" s="166" t="s">
        <v>12</v>
      </c>
      <c r="B493" s="167"/>
      <c r="C493" s="168"/>
      <c r="D493" s="200"/>
      <c r="E493" s="204"/>
      <c r="F493" s="205"/>
      <c r="G493" s="200"/>
      <c r="H493" s="57">
        <f>SUM(I493:L493)</f>
        <v>100304</v>
      </c>
      <c r="I493" s="57">
        <f t="shared" ref="I493:K493" si="209">I494</f>
        <v>32450</v>
      </c>
      <c r="J493" s="57">
        <f t="shared" si="209"/>
        <v>33424</v>
      </c>
      <c r="K493" s="57">
        <f t="shared" si="209"/>
        <v>34430</v>
      </c>
      <c r="L493" s="57"/>
      <c r="M493" s="103"/>
      <c r="N493" s="103"/>
      <c r="O493" s="103"/>
      <c r="P493" s="103"/>
      <c r="Q493" s="103"/>
      <c r="R493" s="103"/>
      <c r="S493" s="103"/>
      <c r="T493" s="103"/>
      <c r="U493" s="103"/>
      <c r="V493" s="103"/>
      <c r="W493" s="7"/>
    </row>
    <row r="494" spans="1:23" s="72" customFormat="1" ht="15">
      <c r="A494" s="63"/>
      <c r="B494" s="182" t="s">
        <v>25</v>
      </c>
      <c r="C494" s="183"/>
      <c r="D494" s="200"/>
      <c r="E494" s="204"/>
      <c r="F494" s="205"/>
      <c r="G494" s="200"/>
      <c r="H494" s="57">
        <f>SUM(I494:L494)</f>
        <v>100304</v>
      </c>
      <c r="I494" s="57">
        <v>32450</v>
      </c>
      <c r="J494" s="57">
        <v>33424</v>
      </c>
      <c r="K494" s="57">
        <v>34430</v>
      </c>
      <c r="L494" s="57"/>
      <c r="M494" s="103"/>
      <c r="N494" s="103"/>
      <c r="O494" s="103"/>
      <c r="P494" s="103"/>
      <c r="Q494" s="103"/>
      <c r="R494" s="103"/>
      <c r="S494" s="103"/>
      <c r="T494" s="103"/>
      <c r="U494" s="103"/>
      <c r="V494" s="103"/>
      <c r="W494" s="7"/>
    </row>
    <row r="495" spans="1:23" s="72" customFormat="1" ht="15">
      <c r="A495" s="179" t="s">
        <v>4</v>
      </c>
      <c r="B495" s="180"/>
      <c r="C495" s="181"/>
      <c r="D495" s="201"/>
      <c r="E495" s="206"/>
      <c r="F495" s="207"/>
      <c r="G495" s="201"/>
      <c r="H495" s="57"/>
      <c r="I495" s="57"/>
      <c r="J495" s="57"/>
      <c r="K495" s="57"/>
      <c r="L495" s="57"/>
      <c r="M495" s="103"/>
      <c r="N495" s="103"/>
      <c r="O495" s="103"/>
      <c r="P495" s="103"/>
      <c r="Q495" s="103"/>
      <c r="R495" s="103"/>
      <c r="S495" s="103"/>
      <c r="T495" s="103"/>
      <c r="U495" s="103"/>
      <c r="V495" s="103"/>
      <c r="W495" s="7"/>
    </row>
    <row r="496" spans="1:23" s="72" customFormat="1" ht="60">
      <c r="A496" s="58">
        <v>12</v>
      </c>
      <c r="B496" s="58" t="s">
        <v>212</v>
      </c>
      <c r="C496" s="58" t="s">
        <v>155</v>
      </c>
      <c r="D496" s="199" t="s">
        <v>213</v>
      </c>
      <c r="E496" s="202" t="s">
        <v>214</v>
      </c>
      <c r="F496" s="203"/>
      <c r="G496" s="199" t="s">
        <v>207</v>
      </c>
      <c r="H496" s="70">
        <f>H497+H499</f>
        <v>39744</v>
      </c>
      <c r="I496" s="70">
        <f t="shared" ref="I496:L496" si="210">I497+I499</f>
        <v>9500</v>
      </c>
      <c r="J496" s="70">
        <f t="shared" si="210"/>
        <v>9785</v>
      </c>
      <c r="K496" s="70">
        <f t="shared" si="210"/>
        <v>10078</v>
      </c>
      <c r="L496" s="70">
        <f t="shared" si="210"/>
        <v>10381</v>
      </c>
      <c r="M496" s="103"/>
      <c r="N496" s="103"/>
      <c r="O496" s="103"/>
      <c r="P496" s="103"/>
      <c r="Q496" s="103"/>
      <c r="R496" s="103"/>
      <c r="S496" s="103"/>
      <c r="T496" s="103"/>
      <c r="U496" s="103"/>
      <c r="V496" s="103"/>
      <c r="W496" s="7">
        <v>30244</v>
      </c>
    </row>
    <row r="497" spans="1:23" s="72" customFormat="1" ht="15">
      <c r="A497" s="166" t="s">
        <v>12</v>
      </c>
      <c r="B497" s="167"/>
      <c r="C497" s="168"/>
      <c r="D497" s="200"/>
      <c r="E497" s="204"/>
      <c r="F497" s="205"/>
      <c r="G497" s="200"/>
      <c r="H497" s="57">
        <f>SUM(I497:L497)</f>
        <v>39744</v>
      </c>
      <c r="I497" s="57">
        <f t="shared" ref="I497:L497" si="211">I498</f>
        <v>9500</v>
      </c>
      <c r="J497" s="57">
        <f t="shared" si="211"/>
        <v>9785</v>
      </c>
      <c r="K497" s="57">
        <f t="shared" si="211"/>
        <v>10078</v>
      </c>
      <c r="L497" s="57">
        <f t="shared" si="211"/>
        <v>10381</v>
      </c>
      <c r="M497" s="103"/>
      <c r="N497" s="103"/>
      <c r="O497" s="103"/>
      <c r="P497" s="103"/>
      <c r="Q497" s="103"/>
      <c r="R497" s="103"/>
      <c r="S497" s="103"/>
      <c r="T497" s="103"/>
      <c r="U497" s="103"/>
      <c r="V497" s="103"/>
      <c r="W497" s="7"/>
    </row>
    <row r="498" spans="1:23" s="72" customFormat="1" ht="15">
      <c r="A498" s="63"/>
      <c r="B498" s="182" t="s">
        <v>25</v>
      </c>
      <c r="C498" s="183"/>
      <c r="D498" s="200"/>
      <c r="E498" s="204"/>
      <c r="F498" s="205"/>
      <c r="G498" s="200"/>
      <c r="H498" s="57">
        <f>SUM(I498:L498)</f>
        <v>39744</v>
      </c>
      <c r="I498" s="57">
        <v>9500</v>
      </c>
      <c r="J498" s="57">
        <v>9785</v>
      </c>
      <c r="K498" s="57">
        <v>10078</v>
      </c>
      <c r="L498" s="57">
        <v>10381</v>
      </c>
      <c r="M498" s="103"/>
      <c r="N498" s="103"/>
      <c r="O498" s="103"/>
      <c r="P498" s="103"/>
      <c r="Q498" s="103"/>
      <c r="R498" s="103"/>
      <c r="S498" s="103"/>
      <c r="T498" s="103"/>
      <c r="U498" s="103"/>
      <c r="V498" s="103"/>
      <c r="W498" s="7"/>
    </row>
    <row r="499" spans="1:23" s="72" customFormat="1" ht="15.75" customHeight="1">
      <c r="A499" s="179" t="s">
        <v>4</v>
      </c>
      <c r="B499" s="180"/>
      <c r="C499" s="181"/>
      <c r="D499" s="201"/>
      <c r="E499" s="206"/>
      <c r="F499" s="207"/>
      <c r="G499" s="201"/>
      <c r="H499" s="57"/>
      <c r="I499" s="57"/>
      <c r="J499" s="57"/>
      <c r="K499" s="57"/>
      <c r="L499" s="57"/>
      <c r="M499" s="103"/>
      <c r="N499" s="103"/>
      <c r="O499" s="103"/>
      <c r="P499" s="103"/>
      <c r="Q499" s="103"/>
      <c r="R499" s="103"/>
      <c r="S499" s="103"/>
      <c r="T499" s="103"/>
      <c r="U499" s="103"/>
      <c r="V499" s="103"/>
      <c r="W499" s="7"/>
    </row>
    <row r="500" spans="1:23" s="72" customFormat="1" ht="64.5" customHeight="1">
      <c r="A500" s="58">
        <v>13</v>
      </c>
      <c r="B500" s="58" t="s">
        <v>215</v>
      </c>
      <c r="C500" s="58" t="s">
        <v>155</v>
      </c>
      <c r="D500" s="199" t="s">
        <v>216</v>
      </c>
      <c r="E500" s="202" t="s">
        <v>196</v>
      </c>
      <c r="F500" s="203"/>
      <c r="G500" s="199" t="s">
        <v>207</v>
      </c>
      <c r="H500" s="70">
        <f>H501+H503</f>
        <v>720</v>
      </c>
      <c r="I500" s="70">
        <f t="shared" ref="I500:J500" si="212">I501+I503</f>
        <v>360</v>
      </c>
      <c r="J500" s="70">
        <f t="shared" si="212"/>
        <v>360</v>
      </c>
      <c r="K500" s="70"/>
      <c r="L500" s="70"/>
      <c r="M500" s="103"/>
      <c r="N500" s="103"/>
      <c r="O500" s="103"/>
      <c r="P500" s="103"/>
      <c r="Q500" s="103"/>
      <c r="R500" s="103"/>
      <c r="S500" s="103"/>
      <c r="T500" s="103"/>
      <c r="U500" s="103"/>
      <c r="V500" s="103"/>
      <c r="W500" s="7">
        <v>360</v>
      </c>
    </row>
    <row r="501" spans="1:23" s="72" customFormat="1" ht="15">
      <c r="A501" s="166" t="s">
        <v>12</v>
      </c>
      <c r="B501" s="167"/>
      <c r="C501" s="168"/>
      <c r="D501" s="200"/>
      <c r="E501" s="204"/>
      <c r="F501" s="205"/>
      <c r="G501" s="200"/>
      <c r="H501" s="57">
        <f>SUM(I501:L501)</f>
        <v>720</v>
      </c>
      <c r="I501" s="57">
        <f t="shared" ref="I501:J501" si="213">I502</f>
        <v>360</v>
      </c>
      <c r="J501" s="57">
        <f t="shared" si="213"/>
        <v>360</v>
      </c>
      <c r="K501" s="57"/>
      <c r="L501" s="57"/>
      <c r="M501" s="103"/>
      <c r="N501" s="103"/>
      <c r="O501" s="103"/>
      <c r="P501" s="103"/>
      <c r="Q501" s="103"/>
      <c r="R501" s="103"/>
      <c r="S501" s="103"/>
      <c r="T501" s="103"/>
      <c r="U501" s="103"/>
      <c r="V501" s="103"/>
      <c r="W501" s="7"/>
    </row>
    <row r="502" spans="1:23" s="72" customFormat="1" ht="15">
      <c r="A502" s="63"/>
      <c r="B502" s="182" t="s">
        <v>25</v>
      </c>
      <c r="C502" s="183"/>
      <c r="D502" s="200"/>
      <c r="E502" s="204"/>
      <c r="F502" s="205"/>
      <c r="G502" s="200"/>
      <c r="H502" s="57">
        <f>SUM(I502:L502)</f>
        <v>720</v>
      </c>
      <c r="I502" s="57">
        <v>360</v>
      </c>
      <c r="J502" s="57">
        <v>360</v>
      </c>
      <c r="K502" s="57"/>
      <c r="L502" s="57"/>
      <c r="M502" s="103"/>
      <c r="N502" s="103"/>
      <c r="O502" s="103"/>
      <c r="P502" s="103"/>
      <c r="Q502" s="103"/>
      <c r="R502" s="103"/>
      <c r="S502" s="103"/>
      <c r="T502" s="103"/>
      <c r="U502" s="103"/>
      <c r="V502" s="103"/>
      <c r="W502" s="7"/>
    </row>
    <row r="503" spans="1:23" s="72" customFormat="1" ht="15">
      <c r="A503" s="179" t="s">
        <v>4</v>
      </c>
      <c r="B503" s="180"/>
      <c r="C503" s="181"/>
      <c r="D503" s="201"/>
      <c r="E503" s="206"/>
      <c r="F503" s="207"/>
      <c r="G503" s="201"/>
      <c r="H503" s="57"/>
      <c r="I503" s="57"/>
      <c r="J503" s="57"/>
      <c r="K503" s="57"/>
      <c r="L503" s="57"/>
      <c r="M503" s="103"/>
      <c r="N503" s="103"/>
      <c r="O503" s="103"/>
      <c r="P503" s="103"/>
      <c r="Q503" s="103"/>
      <c r="R503" s="103"/>
      <c r="S503" s="103"/>
      <c r="T503" s="103"/>
      <c r="U503" s="103"/>
      <c r="V503" s="103"/>
      <c r="W503" s="7"/>
    </row>
    <row r="504" spans="1:23" s="72" customFormat="1" ht="60">
      <c r="A504" s="58">
        <v>14</v>
      </c>
      <c r="B504" s="58" t="s">
        <v>217</v>
      </c>
      <c r="C504" s="58" t="s">
        <v>155</v>
      </c>
      <c r="D504" s="199" t="s">
        <v>218</v>
      </c>
      <c r="E504" s="202" t="s">
        <v>200</v>
      </c>
      <c r="F504" s="203"/>
      <c r="G504" s="199" t="s">
        <v>219</v>
      </c>
      <c r="H504" s="70">
        <f>H505+H507</f>
        <v>319872</v>
      </c>
      <c r="I504" s="70">
        <f t="shared" ref="I504:K504" si="214">I505+I507</f>
        <v>111022</v>
      </c>
      <c r="J504" s="70">
        <f t="shared" si="214"/>
        <v>114390</v>
      </c>
      <c r="K504" s="70">
        <f t="shared" si="214"/>
        <v>94460</v>
      </c>
      <c r="L504" s="70"/>
      <c r="M504" s="103"/>
      <c r="N504" s="103"/>
      <c r="O504" s="103"/>
      <c r="P504" s="103"/>
      <c r="Q504" s="103"/>
      <c r="R504" s="103"/>
      <c r="S504" s="103"/>
      <c r="T504" s="103"/>
      <c r="U504" s="103"/>
      <c r="V504" s="103"/>
      <c r="W504" s="7">
        <v>208850</v>
      </c>
    </row>
    <row r="505" spans="1:23" s="72" customFormat="1" ht="15">
      <c r="A505" s="166" t="s">
        <v>12</v>
      </c>
      <c r="B505" s="167"/>
      <c r="C505" s="168"/>
      <c r="D505" s="200"/>
      <c r="E505" s="204"/>
      <c r="F505" s="205"/>
      <c r="G505" s="200"/>
      <c r="H505" s="57">
        <f>SUM(I505:L505)</f>
        <v>319872</v>
      </c>
      <c r="I505" s="57">
        <f t="shared" ref="I505:K505" si="215">I506</f>
        <v>111022</v>
      </c>
      <c r="J505" s="57">
        <f t="shared" si="215"/>
        <v>114390</v>
      </c>
      <c r="K505" s="57">
        <f t="shared" si="215"/>
        <v>94460</v>
      </c>
      <c r="L505" s="57"/>
      <c r="M505" s="103"/>
      <c r="N505" s="103"/>
      <c r="O505" s="103"/>
      <c r="P505" s="103"/>
      <c r="Q505" s="103"/>
      <c r="R505" s="103"/>
      <c r="S505" s="103"/>
      <c r="T505" s="103"/>
      <c r="U505" s="103"/>
      <c r="V505" s="103"/>
      <c r="W505" s="7"/>
    </row>
    <row r="506" spans="1:23" s="72" customFormat="1" ht="15">
      <c r="A506" s="63"/>
      <c r="B506" s="182" t="s">
        <v>25</v>
      </c>
      <c r="C506" s="183"/>
      <c r="D506" s="200"/>
      <c r="E506" s="204"/>
      <c r="F506" s="205"/>
      <c r="G506" s="200"/>
      <c r="H506" s="57">
        <f>SUM(I506:L506)</f>
        <v>319872</v>
      </c>
      <c r="I506" s="57">
        <v>111022</v>
      </c>
      <c r="J506" s="57">
        <v>114390</v>
      </c>
      <c r="K506" s="57">
        <v>94460</v>
      </c>
      <c r="L506" s="57"/>
      <c r="M506" s="103"/>
      <c r="N506" s="103"/>
      <c r="O506" s="103"/>
      <c r="P506" s="103"/>
      <c r="Q506" s="103"/>
      <c r="R506" s="103"/>
      <c r="S506" s="103"/>
      <c r="T506" s="103"/>
      <c r="U506" s="103"/>
      <c r="V506" s="103"/>
      <c r="W506" s="7"/>
    </row>
    <row r="507" spans="1:23" s="72" customFormat="1" ht="15">
      <c r="A507" s="179" t="s">
        <v>4</v>
      </c>
      <c r="B507" s="180"/>
      <c r="C507" s="181"/>
      <c r="D507" s="201"/>
      <c r="E507" s="206"/>
      <c r="F507" s="207"/>
      <c r="G507" s="201"/>
      <c r="H507" s="57"/>
      <c r="I507" s="57"/>
      <c r="J507" s="57"/>
      <c r="K507" s="57"/>
      <c r="L507" s="57"/>
      <c r="M507" s="103"/>
      <c r="N507" s="103"/>
      <c r="O507" s="103"/>
      <c r="P507" s="103"/>
      <c r="Q507" s="103"/>
      <c r="R507" s="103"/>
      <c r="S507" s="103"/>
      <c r="T507" s="103"/>
      <c r="U507" s="103"/>
      <c r="V507" s="103"/>
      <c r="W507" s="7"/>
    </row>
    <row r="508" spans="1:23" s="72" customFormat="1" ht="45" customHeight="1">
      <c r="A508" s="58">
        <v>15</v>
      </c>
      <c r="B508" s="58" t="s">
        <v>220</v>
      </c>
      <c r="C508" s="58" t="s">
        <v>155</v>
      </c>
      <c r="D508" s="199" t="s">
        <v>221</v>
      </c>
      <c r="E508" s="202" t="s">
        <v>200</v>
      </c>
      <c r="F508" s="203"/>
      <c r="G508" s="199" t="s">
        <v>222</v>
      </c>
      <c r="H508" s="70">
        <f>H509+H511</f>
        <v>408241</v>
      </c>
      <c r="I508" s="70">
        <f t="shared" ref="I508:K508" si="216">I509+I511</f>
        <v>132080</v>
      </c>
      <c r="J508" s="70">
        <f t="shared" si="216"/>
        <v>136042</v>
      </c>
      <c r="K508" s="70">
        <f t="shared" si="216"/>
        <v>140119</v>
      </c>
      <c r="L508" s="70"/>
      <c r="M508" s="103"/>
      <c r="N508" s="103"/>
      <c r="O508" s="103"/>
      <c r="P508" s="103"/>
      <c r="Q508" s="103"/>
      <c r="R508" s="103"/>
      <c r="S508" s="103"/>
      <c r="T508" s="103"/>
      <c r="U508" s="103"/>
      <c r="V508" s="103"/>
      <c r="W508" s="7">
        <v>276161</v>
      </c>
    </row>
    <row r="509" spans="1:23" s="72" customFormat="1" ht="15">
      <c r="A509" s="166" t="s">
        <v>12</v>
      </c>
      <c r="B509" s="167"/>
      <c r="C509" s="168"/>
      <c r="D509" s="200"/>
      <c r="E509" s="204"/>
      <c r="F509" s="205"/>
      <c r="G509" s="200"/>
      <c r="H509" s="57">
        <f>SUM(I509:L509)</f>
        <v>408241</v>
      </c>
      <c r="I509" s="57">
        <f t="shared" ref="I509:K509" si="217">I510</f>
        <v>132080</v>
      </c>
      <c r="J509" s="57">
        <f t="shared" si="217"/>
        <v>136042</v>
      </c>
      <c r="K509" s="57">
        <f t="shared" si="217"/>
        <v>140119</v>
      </c>
      <c r="L509" s="57"/>
      <c r="M509" s="103"/>
      <c r="N509" s="103"/>
      <c r="O509" s="103"/>
      <c r="P509" s="103"/>
      <c r="Q509" s="103"/>
      <c r="R509" s="103"/>
      <c r="S509" s="103"/>
      <c r="T509" s="103"/>
      <c r="U509" s="103"/>
      <c r="V509" s="103"/>
      <c r="W509" s="7"/>
    </row>
    <row r="510" spans="1:23" s="72" customFormat="1" ht="15">
      <c r="A510" s="63"/>
      <c r="B510" s="182" t="s">
        <v>25</v>
      </c>
      <c r="C510" s="183"/>
      <c r="D510" s="200"/>
      <c r="E510" s="204"/>
      <c r="F510" s="205"/>
      <c r="G510" s="200"/>
      <c r="H510" s="57">
        <f>SUM(I510:L510)</f>
        <v>408241</v>
      </c>
      <c r="I510" s="57">
        <v>132080</v>
      </c>
      <c r="J510" s="57">
        <v>136042</v>
      </c>
      <c r="K510" s="57">
        <v>140119</v>
      </c>
      <c r="L510" s="57"/>
      <c r="M510" s="103"/>
      <c r="N510" s="103"/>
      <c r="O510" s="103"/>
      <c r="P510" s="103"/>
      <c r="Q510" s="103"/>
      <c r="R510" s="103"/>
      <c r="S510" s="103"/>
      <c r="T510" s="103"/>
      <c r="U510" s="103"/>
      <c r="V510" s="103"/>
      <c r="W510" s="7"/>
    </row>
    <row r="511" spans="1:23" s="72" customFormat="1" ht="15">
      <c r="A511" s="179" t="s">
        <v>4</v>
      </c>
      <c r="B511" s="180"/>
      <c r="C511" s="181"/>
      <c r="D511" s="201"/>
      <c r="E511" s="206"/>
      <c r="F511" s="207"/>
      <c r="G511" s="201"/>
      <c r="H511" s="57"/>
      <c r="I511" s="57"/>
      <c r="J511" s="57"/>
      <c r="K511" s="57"/>
      <c r="L511" s="57"/>
      <c r="M511" s="103"/>
      <c r="N511" s="103"/>
      <c r="O511" s="103"/>
      <c r="P511" s="103"/>
      <c r="Q511" s="103"/>
      <c r="R511" s="103"/>
      <c r="S511" s="103"/>
      <c r="T511" s="103"/>
      <c r="U511" s="103"/>
      <c r="V511" s="103"/>
      <c r="W511" s="7"/>
    </row>
    <row r="512" spans="1:23" s="72" customFormat="1" ht="75">
      <c r="A512" s="58">
        <v>16</v>
      </c>
      <c r="B512" s="58" t="s">
        <v>223</v>
      </c>
      <c r="C512" s="58" t="s">
        <v>155</v>
      </c>
      <c r="D512" s="199" t="s">
        <v>224</v>
      </c>
      <c r="E512" s="202" t="s">
        <v>200</v>
      </c>
      <c r="F512" s="203"/>
      <c r="G512" s="199" t="s">
        <v>222</v>
      </c>
      <c r="H512" s="70">
        <f>H513+H515</f>
        <v>285599</v>
      </c>
      <c r="I512" s="70">
        <f t="shared" ref="I512:K512" si="218">I513+I515</f>
        <v>92400</v>
      </c>
      <c r="J512" s="70">
        <f t="shared" si="218"/>
        <v>95172</v>
      </c>
      <c r="K512" s="70">
        <f t="shared" si="218"/>
        <v>98027</v>
      </c>
      <c r="L512" s="70"/>
      <c r="M512" s="103"/>
      <c r="N512" s="103"/>
      <c r="O512" s="103"/>
      <c r="P512" s="103"/>
      <c r="Q512" s="103"/>
      <c r="R512" s="103"/>
      <c r="S512" s="103"/>
      <c r="T512" s="103"/>
      <c r="U512" s="103"/>
      <c r="V512" s="103"/>
      <c r="W512" s="7">
        <v>193199</v>
      </c>
    </row>
    <row r="513" spans="1:24" s="72" customFormat="1" ht="15">
      <c r="A513" s="166" t="s">
        <v>12</v>
      </c>
      <c r="B513" s="167"/>
      <c r="C513" s="168"/>
      <c r="D513" s="200"/>
      <c r="E513" s="204"/>
      <c r="F513" s="205"/>
      <c r="G513" s="200"/>
      <c r="H513" s="57">
        <f>SUM(I513:L513)</f>
        <v>285599</v>
      </c>
      <c r="I513" s="57">
        <f t="shared" ref="I513:K513" si="219">I514</f>
        <v>92400</v>
      </c>
      <c r="J513" s="57">
        <f t="shared" si="219"/>
        <v>95172</v>
      </c>
      <c r="K513" s="57">
        <f t="shared" si="219"/>
        <v>98027</v>
      </c>
      <c r="L513" s="57"/>
      <c r="M513" s="103"/>
      <c r="N513" s="103"/>
      <c r="O513" s="103"/>
      <c r="P513" s="103"/>
      <c r="Q513" s="103"/>
      <c r="R513" s="103"/>
      <c r="S513" s="103"/>
      <c r="T513" s="103"/>
      <c r="U513" s="103"/>
      <c r="V513" s="103"/>
      <c r="W513" s="7"/>
    </row>
    <row r="514" spans="1:24" s="72" customFormat="1" ht="15">
      <c r="A514" s="63"/>
      <c r="B514" s="182" t="s">
        <v>25</v>
      </c>
      <c r="C514" s="183"/>
      <c r="D514" s="200"/>
      <c r="E514" s="204"/>
      <c r="F514" s="205"/>
      <c r="G514" s="200"/>
      <c r="H514" s="57">
        <f>SUM(I514:L514)</f>
        <v>285599</v>
      </c>
      <c r="I514" s="57">
        <v>92400</v>
      </c>
      <c r="J514" s="57">
        <v>95172</v>
      </c>
      <c r="K514" s="57">
        <v>98027</v>
      </c>
      <c r="L514" s="57"/>
      <c r="M514" s="103"/>
      <c r="N514" s="103"/>
      <c r="O514" s="103"/>
      <c r="P514" s="103"/>
      <c r="Q514" s="103"/>
      <c r="R514" s="103"/>
      <c r="S514" s="103"/>
      <c r="T514" s="103"/>
      <c r="U514" s="103"/>
      <c r="V514" s="103"/>
      <c r="W514" s="7"/>
    </row>
    <row r="515" spans="1:24" s="72" customFormat="1" ht="15">
      <c r="A515" s="179" t="s">
        <v>4</v>
      </c>
      <c r="B515" s="180"/>
      <c r="C515" s="181"/>
      <c r="D515" s="201"/>
      <c r="E515" s="206"/>
      <c r="F515" s="207"/>
      <c r="G515" s="201"/>
      <c r="H515" s="57"/>
      <c r="I515" s="57"/>
      <c r="J515" s="57"/>
      <c r="K515" s="57"/>
      <c r="L515" s="57"/>
      <c r="M515" s="103"/>
      <c r="N515" s="103"/>
      <c r="O515" s="103"/>
      <c r="P515" s="103"/>
      <c r="Q515" s="103"/>
      <c r="R515" s="103"/>
      <c r="S515" s="103"/>
      <c r="T515" s="103"/>
      <c r="U515" s="103"/>
      <c r="V515" s="103"/>
      <c r="W515" s="7"/>
    </row>
    <row r="516" spans="1:24" s="72" customFormat="1" ht="45" customHeight="1">
      <c r="A516" s="58">
        <v>17</v>
      </c>
      <c r="B516" s="81" t="s">
        <v>225</v>
      </c>
      <c r="C516" s="58" t="s">
        <v>155</v>
      </c>
      <c r="D516" s="208" t="s">
        <v>286</v>
      </c>
      <c r="E516" s="202" t="s">
        <v>196</v>
      </c>
      <c r="F516" s="203"/>
      <c r="G516" s="199" t="s">
        <v>222</v>
      </c>
      <c r="H516" s="70">
        <f>H517+H519</f>
        <v>15706</v>
      </c>
      <c r="I516" s="70">
        <f t="shared" ref="I516:J516" si="220">I517+I519</f>
        <v>6746</v>
      </c>
      <c r="J516" s="70">
        <f t="shared" si="220"/>
        <v>8960</v>
      </c>
      <c r="K516" s="70"/>
      <c r="L516" s="70"/>
      <c r="M516" s="103"/>
      <c r="N516" s="103"/>
      <c r="O516" s="103"/>
      <c r="P516" s="103"/>
      <c r="Q516" s="103"/>
      <c r="R516" s="103"/>
      <c r="S516" s="103"/>
      <c r="T516" s="103"/>
      <c r="U516" s="103"/>
      <c r="V516" s="103"/>
      <c r="W516" s="7">
        <v>8960</v>
      </c>
    </row>
    <row r="517" spans="1:24" s="72" customFormat="1" ht="15">
      <c r="A517" s="166" t="s">
        <v>12</v>
      </c>
      <c r="B517" s="167"/>
      <c r="C517" s="168"/>
      <c r="D517" s="200"/>
      <c r="E517" s="204"/>
      <c r="F517" s="205"/>
      <c r="G517" s="200"/>
      <c r="H517" s="57">
        <f>SUM(I517:L517)</f>
        <v>15706</v>
      </c>
      <c r="I517" s="57">
        <f t="shared" ref="I517:J517" si="221">I518</f>
        <v>6746</v>
      </c>
      <c r="J517" s="57">
        <f t="shared" si="221"/>
        <v>8960</v>
      </c>
      <c r="K517" s="57"/>
      <c r="L517" s="57"/>
      <c r="M517" s="103"/>
      <c r="N517" s="103"/>
      <c r="O517" s="103"/>
      <c r="P517" s="103"/>
      <c r="Q517" s="103"/>
      <c r="R517" s="103"/>
      <c r="S517" s="103"/>
      <c r="T517" s="103"/>
      <c r="U517" s="103"/>
      <c r="V517" s="103"/>
      <c r="W517" s="7"/>
    </row>
    <row r="518" spans="1:24" s="72" customFormat="1" ht="15">
      <c r="A518" s="63"/>
      <c r="B518" s="182" t="s">
        <v>25</v>
      </c>
      <c r="C518" s="183"/>
      <c r="D518" s="200"/>
      <c r="E518" s="204"/>
      <c r="F518" s="205"/>
      <c r="G518" s="200"/>
      <c r="H518" s="57">
        <f>SUM(I518:L518)</f>
        <v>15706</v>
      </c>
      <c r="I518" s="57">
        <v>6746</v>
      </c>
      <c r="J518" s="57">
        <v>8960</v>
      </c>
      <c r="K518" s="57"/>
      <c r="L518" s="57"/>
      <c r="M518" s="103"/>
      <c r="N518" s="103"/>
      <c r="O518" s="103"/>
      <c r="P518" s="103"/>
      <c r="Q518" s="103"/>
      <c r="R518" s="103"/>
      <c r="S518" s="103"/>
      <c r="T518" s="103"/>
      <c r="U518" s="103"/>
      <c r="V518" s="103"/>
      <c r="W518" s="7"/>
    </row>
    <row r="519" spans="1:24" s="72" customFormat="1" ht="15">
      <c r="A519" s="179" t="s">
        <v>4</v>
      </c>
      <c r="B519" s="180"/>
      <c r="C519" s="181"/>
      <c r="D519" s="201"/>
      <c r="E519" s="206"/>
      <c r="F519" s="207"/>
      <c r="G519" s="201"/>
      <c r="H519" s="57"/>
      <c r="I519" s="57"/>
      <c r="J519" s="57"/>
      <c r="K519" s="57"/>
      <c r="L519" s="57"/>
      <c r="M519" s="103"/>
      <c r="N519" s="103"/>
      <c r="O519" s="103"/>
      <c r="P519" s="103"/>
      <c r="Q519" s="103"/>
      <c r="R519" s="103"/>
      <c r="S519" s="103"/>
      <c r="T519" s="103"/>
      <c r="U519" s="103"/>
      <c r="V519" s="103"/>
      <c r="W519" s="7"/>
    </row>
    <row r="520" spans="1:24" s="146" customFormat="1" ht="45" customHeight="1">
      <c r="A520" s="69">
        <v>18</v>
      </c>
      <c r="B520" s="86" t="s">
        <v>278</v>
      </c>
      <c r="C520" s="69" t="s">
        <v>155</v>
      </c>
      <c r="D520" s="190" t="s">
        <v>21</v>
      </c>
      <c r="E520" s="191" t="s">
        <v>170</v>
      </c>
      <c r="F520" s="161"/>
      <c r="G520" s="190" t="s">
        <v>133</v>
      </c>
      <c r="H520" s="144">
        <f>H521+H523</f>
        <v>1104790</v>
      </c>
      <c r="I520" s="144">
        <f t="shared" ref="I520" si="222">I521+I523</f>
        <v>48230</v>
      </c>
      <c r="J520" s="144">
        <f t="shared" ref="J520:K520" si="223">J521+J523</f>
        <v>631860</v>
      </c>
      <c r="K520" s="144">
        <f t="shared" si="223"/>
        <v>224700</v>
      </c>
      <c r="L520" s="144">
        <f t="shared" ref="L520" si="224">L521+L523</f>
        <v>200000</v>
      </c>
      <c r="M520" s="144"/>
      <c r="N520" s="145"/>
      <c r="O520" s="145"/>
      <c r="P520" s="145"/>
      <c r="Q520" s="145"/>
      <c r="R520" s="145"/>
      <c r="S520" s="145"/>
      <c r="T520" s="145"/>
      <c r="U520" s="145"/>
      <c r="V520" s="145"/>
      <c r="W520" s="91">
        <f>40700+999860+16000</f>
        <v>1056560</v>
      </c>
    </row>
    <row r="521" spans="1:24" s="146" customFormat="1" ht="15">
      <c r="A521" s="152" t="s">
        <v>12</v>
      </c>
      <c r="B521" s="153"/>
      <c r="C521" s="154"/>
      <c r="D521" s="150"/>
      <c r="E521" s="162"/>
      <c r="F521" s="163"/>
      <c r="G521" s="150"/>
      <c r="H521" s="61">
        <f t="shared" ref="H521:L521" si="225">H522</f>
        <v>1104790</v>
      </c>
      <c r="I521" s="61">
        <f t="shared" si="225"/>
        <v>48230</v>
      </c>
      <c r="J521" s="61">
        <f t="shared" si="225"/>
        <v>631860</v>
      </c>
      <c r="K521" s="61">
        <f t="shared" si="225"/>
        <v>224700</v>
      </c>
      <c r="L521" s="61">
        <f t="shared" si="225"/>
        <v>200000</v>
      </c>
      <c r="M521" s="61"/>
      <c r="N521" s="145"/>
      <c r="O521" s="145"/>
      <c r="P521" s="145"/>
      <c r="Q521" s="145"/>
      <c r="R521" s="145"/>
      <c r="S521" s="145"/>
      <c r="T521" s="145"/>
      <c r="U521" s="145"/>
      <c r="V521" s="145"/>
      <c r="W521" s="91"/>
    </row>
    <row r="522" spans="1:24" s="146" customFormat="1" ht="15">
      <c r="A522" s="85"/>
      <c r="B522" s="155" t="s">
        <v>25</v>
      </c>
      <c r="C522" s="156"/>
      <c r="D522" s="150"/>
      <c r="E522" s="162"/>
      <c r="F522" s="163"/>
      <c r="G522" s="150"/>
      <c r="H522" s="61">
        <v>1104790</v>
      </c>
      <c r="I522" s="61">
        <v>48230</v>
      </c>
      <c r="J522" s="61">
        <v>631860</v>
      </c>
      <c r="K522" s="61">
        <v>224700</v>
      </c>
      <c r="L522" s="61">
        <v>200000</v>
      </c>
      <c r="M522" s="145"/>
      <c r="N522" s="145"/>
      <c r="O522" s="145"/>
      <c r="P522" s="145"/>
      <c r="Q522" s="145"/>
      <c r="R522" s="145"/>
      <c r="S522" s="145"/>
      <c r="T522" s="145"/>
      <c r="U522" s="145"/>
      <c r="V522" s="145"/>
      <c r="W522" s="91"/>
    </row>
    <row r="523" spans="1:24" s="146" customFormat="1" ht="15">
      <c r="A523" s="157" t="s">
        <v>4</v>
      </c>
      <c r="B523" s="158"/>
      <c r="C523" s="159"/>
      <c r="D523" s="151"/>
      <c r="E523" s="164"/>
      <c r="F523" s="165"/>
      <c r="G523" s="151"/>
      <c r="H523" s="61"/>
      <c r="I523" s="61"/>
      <c r="J523" s="61"/>
      <c r="K523" s="61"/>
      <c r="L523" s="61"/>
      <c r="M523" s="145"/>
      <c r="N523" s="145"/>
      <c r="O523" s="145"/>
      <c r="P523" s="145"/>
      <c r="Q523" s="145"/>
      <c r="R523" s="145"/>
      <c r="S523" s="145"/>
      <c r="T523" s="145"/>
      <c r="U523" s="145"/>
      <c r="V523" s="145"/>
      <c r="W523" s="91"/>
    </row>
    <row r="524" spans="1:24" s="25" customFormat="1" ht="15">
      <c r="A524" s="23"/>
      <c r="B524" s="26"/>
      <c r="C524" s="26"/>
      <c r="D524" s="23"/>
      <c r="E524" s="251"/>
      <c r="F524" s="252"/>
      <c r="G524" s="46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66"/>
    </row>
    <row r="525" spans="1:24" s="37" customFormat="1" ht="15">
      <c r="A525" s="225" t="s">
        <v>9</v>
      </c>
      <c r="B525" s="226"/>
      <c r="C525" s="226"/>
      <c r="D525" s="226"/>
      <c r="E525" s="226"/>
      <c r="F525" s="226"/>
      <c r="G525" s="227"/>
      <c r="H525" s="36">
        <f>H526</f>
        <v>102884209</v>
      </c>
      <c r="I525" s="36">
        <f>I526</f>
        <v>6178646</v>
      </c>
      <c r="J525" s="36">
        <f t="shared" ref="J525:V525" si="226">J526</f>
        <v>12223471</v>
      </c>
      <c r="K525" s="36">
        <f t="shared" si="226"/>
        <v>10458974</v>
      </c>
      <c r="L525" s="36">
        <f t="shared" si="226"/>
        <v>9112911</v>
      </c>
      <c r="M525" s="36">
        <f t="shared" si="226"/>
        <v>7561980</v>
      </c>
      <c r="N525" s="36">
        <f t="shared" si="226"/>
        <v>4960034</v>
      </c>
      <c r="O525" s="36">
        <f t="shared" si="226"/>
        <v>4956214</v>
      </c>
      <c r="P525" s="36">
        <f t="shared" si="226"/>
        <v>4519898</v>
      </c>
      <c r="Q525" s="36">
        <f t="shared" si="226"/>
        <v>4305543</v>
      </c>
      <c r="R525" s="36">
        <f t="shared" si="226"/>
        <v>4089403</v>
      </c>
      <c r="S525" s="36">
        <f t="shared" si="226"/>
        <v>3355668</v>
      </c>
      <c r="T525" s="36">
        <f t="shared" si="226"/>
        <v>141950</v>
      </c>
      <c r="U525" s="36">
        <f t="shared" si="226"/>
        <v>0</v>
      </c>
      <c r="V525" s="36">
        <f t="shared" si="226"/>
        <v>0</v>
      </c>
      <c r="W525" s="73">
        <f>SUM(W526)</f>
        <v>0</v>
      </c>
      <c r="X525" s="80"/>
    </row>
    <row r="526" spans="1:24" s="37" customFormat="1" ht="15">
      <c r="A526" s="228" t="s">
        <v>3</v>
      </c>
      <c r="B526" s="229"/>
      <c r="C526" s="230"/>
      <c r="D526" s="35"/>
      <c r="E526" s="231"/>
      <c r="F526" s="232"/>
      <c r="G526" s="45"/>
      <c r="H526" s="36">
        <f>SUM(H528,H531,H534,H537,H540,H543,H546)</f>
        <v>102884209</v>
      </c>
      <c r="I526" s="36">
        <f>SUM(I528,I531,I534,I537,I540,I543,I546)</f>
        <v>6178646</v>
      </c>
      <c r="J526" s="36">
        <f t="shared" ref="J526:V526" si="227">SUM(J528,J531,J534,J537,J540,J543,J546)</f>
        <v>12223471</v>
      </c>
      <c r="K526" s="36">
        <f t="shared" si="227"/>
        <v>10458974</v>
      </c>
      <c r="L526" s="36">
        <f t="shared" si="227"/>
        <v>9112911</v>
      </c>
      <c r="M526" s="36">
        <f t="shared" si="227"/>
        <v>7561980</v>
      </c>
      <c r="N526" s="36">
        <f t="shared" si="227"/>
        <v>4960034</v>
      </c>
      <c r="O526" s="36">
        <f t="shared" si="227"/>
        <v>4956214</v>
      </c>
      <c r="P526" s="36">
        <f t="shared" si="227"/>
        <v>4519898</v>
      </c>
      <c r="Q526" s="36">
        <f t="shared" si="227"/>
        <v>4305543</v>
      </c>
      <c r="R526" s="36">
        <f t="shared" si="227"/>
        <v>4089403</v>
      </c>
      <c r="S526" s="36">
        <f t="shared" si="227"/>
        <v>3355668</v>
      </c>
      <c r="T526" s="36">
        <f t="shared" si="227"/>
        <v>141950</v>
      </c>
      <c r="U526" s="36">
        <f t="shared" si="227"/>
        <v>0</v>
      </c>
      <c r="V526" s="36">
        <f t="shared" si="227"/>
        <v>0</v>
      </c>
      <c r="W526" s="51">
        <v>0</v>
      </c>
    </row>
    <row r="527" spans="1:24" s="25" customFormat="1" ht="183.75" customHeight="1">
      <c r="A527" s="28">
        <v>1</v>
      </c>
      <c r="B527" s="83" t="s">
        <v>83</v>
      </c>
      <c r="C527" s="29" t="s">
        <v>144</v>
      </c>
      <c r="D527" s="178" t="s">
        <v>19</v>
      </c>
      <c r="E527" s="212" t="s">
        <v>31</v>
      </c>
      <c r="F527" s="213"/>
      <c r="G527" s="178" t="s">
        <v>135</v>
      </c>
      <c r="H527" s="30">
        <v>36773446</v>
      </c>
      <c r="I527" s="30">
        <f t="shared" ref="I527:S528" si="228">SUM(I528)</f>
        <v>2098748</v>
      </c>
      <c r="J527" s="30">
        <f t="shared" si="228"/>
        <v>3155672</v>
      </c>
      <c r="K527" s="30">
        <f t="shared" si="228"/>
        <v>3040185</v>
      </c>
      <c r="L527" s="30">
        <f t="shared" si="228"/>
        <v>2924847</v>
      </c>
      <c r="M527" s="30">
        <f t="shared" si="228"/>
        <v>2578840</v>
      </c>
      <c r="N527" s="30">
        <f t="shared" si="228"/>
        <v>2703629</v>
      </c>
      <c r="O527" s="30">
        <f t="shared" si="228"/>
        <v>2799640</v>
      </c>
      <c r="P527" s="30">
        <f t="shared" si="228"/>
        <v>2463154</v>
      </c>
      <c r="Q527" s="30">
        <f t="shared" si="228"/>
        <v>2347832</v>
      </c>
      <c r="R527" s="30">
        <f t="shared" si="228"/>
        <v>2232320</v>
      </c>
      <c r="S527" s="30">
        <f t="shared" si="228"/>
        <v>1598416</v>
      </c>
      <c r="T527" s="30"/>
      <c r="U527" s="30"/>
      <c r="V527" s="30"/>
      <c r="W527" s="30">
        <v>0</v>
      </c>
    </row>
    <row r="528" spans="1:24" ht="15">
      <c r="A528" s="166" t="s">
        <v>12</v>
      </c>
      <c r="B528" s="167"/>
      <c r="C528" s="168"/>
      <c r="D528" s="170"/>
      <c r="E528" s="214"/>
      <c r="F528" s="215"/>
      <c r="G528" s="170"/>
      <c r="H528" s="57">
        <v>36773446</v>
      </c>
      <c r="I528" s="57">
        <f t="shared" si="228"/>
        <v>2098748</v>
      </c>
      <c r="J528" s="57">
        <f t="shared" si="228"/>
        <v>3155672</v>
      </c>
      <c r="K528" s="57">
        <f t="shared" si="228"/>
        <v>3040185</v>
      </c>
      <c r="L528" s="57">
        <f t="shared" si="228"/>
        <v>2924847</v>
      </c>
      <c r="M528" s="57">
        <f t="shared" si="228"/>
        <v>2578840</v>
      </c>
      <c r="N528" s="57">
        <f t="shared" si="228"/>
        <v>2703629</v>
      </c>
      <c r="O528" s="57">
        <f t="shared" si="228"/>
        <v>2799640</v>
      </c>
      <c r="P528" s="57">
        <f t="shared" si="228"/>
        <v>2463154</v>
      </c>
      <c r="Q528" s="57">
        <f t="shared" si="228"/>
        <v>2347832</v>
      </c>
      <c r="R528" s="57">
        <f t="shared" si="228"/>
        <v>2232320</v>
      </c>
      <c r="S528" s="57">
        <f t="shared" si="228"/>
        <v>1598416</v>
      </c>
      <c r="T528" s="57"/>
      <c r="U528" s="57"/>
      <c r="V528" s="57"/>
      <c r="W528" s="7"/>
    </row>
    <row r="529" spans="1:23" ht="15">
      <c r="A529" s="13"/>
      <c r="B529" s="197" t="s">
        <v>25</v>
      </c>
      <c r="C529" s="198"/>
      <c r="D529" s="171"/>
      <c r="E529" s="216"/>
      <c r="F529" s="217"/>
      <c r="G529" s="171"/>
      <c r="H529" s="57">
        <v>36773446</v>
      </c>
      <c r="I529" s="57">
        <v>2098748</v>
      </c>
      <c r="J529" s="57">
        <v>3155672</v>
      </c>
      <c r="K529" s="57">
        <v>3040185</v>
      </c>
      <c r="L529" s="57">
        <v>2924847</v>
      </c>
      <c r="M529" s="57">
        <v>2578840</v>
      </c>
      <c r="N529" s="57">
        <v>2703629</v>
      </c>
      <c r="O529" s="57">
        <v>2799640</v>
      </c>
      <c r="P529" s="57">
        <v>2463154</v>
      </c>
      <c r="Q529" s="57">
        <v>2347832</v>
      </c>
      <c r="R529" s="57">
        <v>2232320</v>
      </c>
      <c r="S529" s="57">
        <v>1598416</v>
      </c>
      <c r="T529" s="57"/>
      <c r="U529" s="57"/>
      <c r="V529" s="57"/>
      <c r="W529" s="7"/>
    </row>
    <row r="530" spans="1:23" ht="168" customHeight="1">
      <c r="A530" s="8">
        <v>2</v>
      </c>
      <c r="B530" s="84" t="s">
        <v>84</v>
      </c>
      <c r="C530" s="12" t="s">
        <v>85</v>
      </c>
      <c r="D530" s="178" t="s">
        <v>16</v>
      </c>
      <c r="E530" s="212" t="s">
        <v>27</v>
      </c>
      <c r="F530" s="213"/>
      <c r="G530" s="178" t="s">
        <v>135</v>
      </c>
      <c r="H530" s="59">
        <v>9755170</v>
      </c>
      <c r="I530" s="59">
        <f t="shared" ref="I530:K530" si="229">SUM(I531)</f>
        <v>1035182</v>
      </c>
      <c r="J530" s="59">
        <f t="shared" si="229"/>
        <v>1676125</v>
      </c>
      <c r="K530" s="59">
        <f t="shared" si="229"/>
        <v>405907</v>
      </c>
      <c r="L530" s="59"/>
      <c r="M530" s="59"/>
      <c r="N530" s="59"/>
      <c r="O530" s="59"/>
      <c r="P530" s="59"/>
      <c r="Q530" s="59"/>
      <c r="R530" s="59"/>
      <c r="S530" s="59"/>
      <c r="T530" s="59"/>
      <c r="U530" s="59"/>
      <c r="V530" s="59"/>
      <c r="W530" s="59">
        <v>0</v>
      </c>
    </row>
    <row r="531" spans="1:23" ht="15">
      <c r="A531" s="166" t="s">
        <v>12</v>
      </c>
      <c r="B531" s="167"/>
      <c r="C531" s="168"/>
      <c r="D531" s="170"/>
      <c r="E531" s="214"/>
      <c r="F531" s="215"/>
      <c r="G531" s="170"/>
      <c r="H531" s="57">
        <v>9755170</v>
      </c>
      <c r="I531" s="57">
        <f>SUM(I532:I532)</f>
        <v>1035182</v>
      </c>
      <c r="J531" s="57">
        <f>SUM(J532:J532)</f>
        <v>1676125</v>
      </c>
      <c r="K531" s="57">
        <f>SUM(K532:K532)</f>
        <v>405907</v>
      </c>
      <c r="L531" s="57"/>
      <c r="M531" s="57"/>
      <c r="N531" s="57"/>
      <c r="O531" s="57"/>
      <c r="P531" s="57"/>
      <c r="Q531" s="57"/>
      <c r="R531" s="57"/>
      <c r="S531" s="57"/>
      <c r="T531" s="57"/>
      <c r="U531" s="57"/>
      <c r="V531" s="57"/>
      <c r="W531" s="7"/>
    </row>
    <row r="532" spans="1:23" ht="15">
      <c r="A532" s="13"/>
      <c r="B532" s="197" t="s">
        <v>25</v>
      </c>
      <c r="C532" s="198"/>
      <c r="D532" s="171"/>
      <c r="E532" s="216"/>
      <c r="F532" s="217"/>
      <c r="G532" s="171"/>
      <c r="H532" s="57">
        <v>9755170</v>
      </c>
      <c r="I532" s="57">
        <v>1035182</v>
      </c>
      <c r="J532" s="57">
        <v>1676125</v>
      </c>
      <c r="K532" s="57">
        <v>405907</v>
      </c>
      <c r="L532" s="57"/>
      <c r="M532" s="57"/>
      <c r="N532" s="57"/>
      <c r="O532" s="57"/>
      <c r="P532" s="57"/>
      <c r="Q532" s="57"/>
      <c r="R532" s="57"/>
      <c r="S532" s="57"/>
      <c r="T532" s="57"/>
      <c r="U532" s="57"/>
      <c r="V532" s="57"/>
      <c r="W532" s="7"/>
    </row>
    <row r="533" spans="1:23" ht="150" customHeight="1">
      <c r="A533" s="8">
        <v>3</v>
      </c>
      <c r="B533" s="81" t="s">
        <v>87</v>
      </c>
      <c r="C533" s="8" t="s">
        <v>86</v>
      </c>
      <c r="D533" s="235" t="s">
        <v>17</v>
      </c>
      <c r="E533" s="212" t="s">
        <v>30</v>
      </c>
      <c r="F533" s="213"/>
      <c r="G533" s="178" t="s">
        <v>135</v>
      </c>
      <c r="H533" s="59">
        <v>35924535</v>
      </c>
      <c r="I533" s="59">
        <f t="shared" ref="I533:T533" si="230">SUM(I534)</f>
        <v>1653303</v>
      </c>
      <c r="J533" s="59">
        <f t="shared" si="230"/>
        <v>2655727</v>
      </c>
      <c r="K533" s="59">
        <f t="shared" si="230"/>
        <v>2555896</v>
      </c>
      <c r="L533" s="59">
        <f t="shared" si="230"/>
        <v>2456066</v>
      </c>
      <c r="M533" s="59">
        <f t="shared" si="230"/>
        <v>2358127</v>
      </c>
      <c r="N533" s="59">
        <f t="shared" si="230"/>
        <v>2256405</v>
      </c>
      <c r="O533" s="59">
        <f t="shared" si="230"/>
        <v>2156574</v>
      </c>
      <c r="P533" s="59">
        <f t="shared" si="230"/>
        <v>2056744</v>
      </c>
      <c r="Q533" s="59">
        <f t="shared" si="230"/>
        <v>1957711</v>
      </c>
      <c r="R533" s="59">
        <f t="shared" si="230"/>
        <v>1857083</v>
      </c>
      <c r="S533" s="59">
        <f t="shared" si="230"/>
        <v>1757252</v>
      </c>
      <c r="T533" s="59">
        <f t="shared" si="230"/>
        <v>141950</v>
      </c>
      <c r="U533" s="59"/>
      <c r="V533" s="59"/>
      <c r="W533" s="59">
        <v>0</v>
      </c>
    </row>
    <row r="534" spans="1:23" ht="15">
      <c r="A534" s="166" t="s">
        <v>12</v>
      </c>
      <c r="B534" s="167"/>
      <c r="C534" s="168"/>
      <c r="D534" s="236"/>
      <c r="E534" s="214"/>
      <c r="F534" s="215"/>
      <c r="G534" s="170"/>
      <c r="H534" s="57">
        <v>35924535</v>
      </c>
      <c r="I534" s="57">
        <f t="shared" ref="I534:T534" si="231">SUM(I535:I535)</f>
        <v>1653303</v>
      </c>
      <c r="J534" s="57">
        <f t="shared" si="231"/>
        <v>2655727</v>
      </c>
      <c r="K534" s="57">
        <f t="shared" si="231"/>
        <v>2555896</v>
      </c>
      <c r="L534" s="57">
        <f t="shared" si="231"/>
        <v>2456066</v>
      </c>
      <c r="M534" s="57">
        <f t="shared" si="231"/>
        <v>2358127</v>
      </c>
      <c r="N534" s="57">
        <f t="shared" si="231"/>
        <v>2256405</v>
      </c>
      <c r="O534" s="57">
        <f t="shared" si="231"/>
        <v>2156574</v>
      </c>
      <c r="P534" s="57">
        <f t="shared" si="231"/>
        <v>2056744</v>
      </c>
      <c r="Q534" s="57">
        <f t="shared" si="231"/>
        <v>1957711</v>
      </c>
      <c r="R534" s="57">
        <f t="shared" si="231"/>
        <v>1857083</v>
      </c>
      <c r="S534" s="57">
        <f t="shared" si="231"/>
        <v>1757252</v>
      </c>
      <c r="T534" s="57">
        <f t="shared" si="231"/>
        <v>141950</v>
      </c>
      <c r="U534" s="57"/>
      <c r="V534" s="57"/>
      <c r="W534" s="7"/>
    </row>
    <row r="535" spans="1:23" ht="15">
      <c r="A535" s="13"/>
      <c r="B535" s="197" t="s">
        <v>25</v>
      </c>
      <c r="C535" s="198"/>
      <c r="D535" s="237"/>
      <c r="E535" s="216"/>
      <c r="F535" s="217"/>
      <c r="G535" s="171"/>
      <c r="H535" s="57">
        <v>35924535</v>
      </c>
      <c r="I535" s="57">
        <v>1653303</v>
      </c>
      <c r="J535" s="57">
        <v>2655727</v>
      </c>
      <c r="K535" s="57">
        <v>2555896</v>
      </c>
      <c r="L535" s="57">
        <v>2456066</v>
      </c>
      <c r="M535" s="57">
        <v>2358127</v>
      </c>
      <c r="N535" s="57">
        <v>2256405</v>
      </c>
      <c r="O535" s="57">
        <v>2156574</v>
      </c>
      <c r="P535" s="57">
        <v>2056744</v>
      </c>
      <c r="Q535" s="57">
        <v>1957711</v>
      </c>
      <c r="R535" s="57">
        <v>1857083</v>
      </c>
      <c r="S535" s="57">
        <v>1757252</v>
      </c>
      <c r="T535" s="57">
        <v>141950</v>
      </c>
      <c r="U535" s="57"/>
      <c r="V535" s="57"/>
      <c r="W535" s="7"/>
    </row>
    <row r="536" spans="1:23" ht="168" customHeight="1">
      <c r="A536" s="8">
        <v>4</v>
      </c>
      <c r="B536" s="84" t="s">
        <v>88</v>
      </c>
      <c r="C536" s="12" t="s">
        <v>89</v>
      </c>
      <c r="D536" s="178" t="s">
        <v>18</v>
      </c>
      <c r="E536" s="212" t="s">
        <v>29</v>
      </c>
      <c r="F536" s="213"/>
      <c r="G536" s="178" t="s">
        <v>135</v>
      </c>
      <c r="H536" s="59">
        <v>3232525</v>
      </c>
      <c r="I536" s="59">
        <f t="shared" ref="I536:J536" si="232">SUM(I537)</f>
        <v>611035</v>
      </c>
      <c r="J536" s="59">
        <f t="shared" si="232"/>
        <v>766530</v>
      </c>
      <c r="K536" s="59"/>
      <c r="L536" s="59"/>
      <c r="M536" s="59"/>
      <c r="N536" s="59"/>
      <c r="O536" s="59"/>
      <c r="P536" s="59"/>
      <c r="Q536" s="59"/>
      <c r="R536" s="59"/>
      <c r="S536" s="59"/>
      <c r="T536" s="59"/>
      <c r="U536" s="59"/>
      <c r="V536" s="59"/>
      <c r="W536" s="59">
        <v>0</v>
      </c>
    </row>
    <row r="537" spans="1:23" ht="15">
      <c r="A537" s="166" t="s">
        <v>12</v>
      </c>
      <c r="B537" s="167"/>
      <c r="C537" s="168"/>
      <c r="D537" s="170"/>
      <c r="E537" s="214"/>
      <c r="F537" s="215"/>
      <c r="G537" s="170"/>
      <c r="H537" s="57">
        <v>3232525</v>
      </c>
      <c r="I537" s="57">
        <f>SUM(I538:I538)</f>
        <v>611035</v>
      </c>
      <c r="J537" s="57">
        <f>SUM(J538:J538)</f>
        <v>766530</v>
      </c>
      <c r="K537" s="57"/>
      <c r="L537" s="57"/>
      <c r="M537" s="57"/>
      <c r="N537" s="57"/>
      <c r="O537" s="57"/>
      <c r="P537" s="57"/>
      <c r="Q537" s="57"/>
      <c r="R537" s="57"/>
      <c r="S537" s="57"/>
      <c r="T537" s="57"/>
      <c r="U537" s="57"/>
      <c r="V537" s="57"/>
      <c r="W537" s="7"/>
    </row>
    <row r="538" spans="1:23" ht="15">
      <c r="A538" s="13"/>
      <c r="B538" s="197" t="s">
        <v>25</v>
      </c>
      <c r="C538" s="198"/>
      <c r="D538" s="171"/>
      <c r="E538" s="216"/>
      <c r="F538" s="217"/>
      <c r="G538" s="171"/>
      <c r="H538" s="57">
        <v>3232525</v>
      </c>
      <c r="I538" s="57">
        <v>611035</v>
      </c>
      <c r="J538" s="57">
        <v>766530</v>
      </c>
      <c r="K538" s="57"/>
      <c r="L538" s="57"/>
      <c r="M538" s="57"/>
      <c r="N538" s="57"/>
      <c r="O538" s="57"/>
      <c r="P538" s="57"/>
      <c r="Q538" s="57"/>
      <c r="R538" s="57"/>
      <c r="S538" s="57"/>
      <c r="T538" s="57"/>
      <c r="U538" s="57"/>
      <c r="V538" s="57"/>
      <c r="W538" s="7"/>
    </row>
    <row r="539" spans="1:23" ht="167.25" customHeight="1">
      <c r="A539" s="8">
        <v>5</v>
      </c>
      <c r="B539" s="84" t="s">
        <v>91</v>
      </c>
      <c r="C539" s="12" t="s">
        <v>90</v>
      </c>
      <c r="D539" s="235" t="s">
        <v>16</v>
      </c>
      <c r="E539" s="212" t="s">
        <v>28</v>
      </c>
      <c r="F539" s="213"/>
      <c r="G539" s="178" t="s">
        <v>135</v>
      </c>
      <c r="H539" s="59">
        <v>14543603</v>
      </c>
      <c r="I539" s="59">
        <f t="shared" ref="I539:M539" si="233">SUM(I540)</f>
        <v>294570</v>
      </c>
      <c r="J539" s="59">
        <f t="shared" si="233"/>
        <v>3121644</v>
      </c>
      <c r="K539" s="59">
        <f t="shared" si="233"/>
        <v>3816457</v>
      </c>
      <c r="L539" s="59">
        <f t="shared" si="233"/>
        <v>3647094</v>
      </c>
      <c r="M539" s="59">
        <f t="shared" si="233"/>
        <v>2625013</v>
      </c>
      <c r="N539" s="59"/>
      <c r="O539" s="59"/>
      <c r="P539" s="59"/>
      <c r="Q539" s="59"/>
      <c r="R539" s="59"/>
      <c r="S539" s="59"/>
      <c r="T539" s="59"/>
      <c r="U539" s="59"/>
      <c r="V539" s="59"/>
      <c r="W539" s="59">
        <v>0</v>
      </c>
    </row>
    <row r="540" spans="1:23" ht="15">
      <c r="A540" s="166" t="s">
        <v>12</v>
      </c>
      <c r="B540" s="167"/>
      <c r="C540" s="168"/>
      <c r="D540" s="236"/>
      <c r="E540" s="214"/>
      <c r="F540" s="215"/>
      <c r="G540" s="170"/>
      <c r="H540" s="57">
        <v>14543603</v>
      </c>
      <c r="I540" s="57">
        <f t="shared" ref="I540:M540" si="234">SUM(I541:I541)</f>
        <v>294570</v>
      </c>
      <c r="J540" s="57">
        <f t="shared" si="234"/>
        <v>3121644</v>
      </c>
      <c r="K540" s="57">
        <f t="shared" si="234"/>
        <v>3816457</v>
      </c>
      <c r="L540" s="57">
        <f t="shared" si="234"/>
        <v>3647094</v>
      </c>
      <c r="M540" s="57">
        <f t="shared" si="234"/>
        <v>2625013</v>
      </c>
      <c r="N540" s="57"/>
      <c r="O540" s="57"/>
      <c r="P540" s="57"/>
      <c r="Q540" s="57"/>
      <c r="R540" s="57"/>
      <c r="S540" s="57"/>
      <c r="T540" s="57"/>
      <c r="U540" s="57"/>
      <c r="V540" s="57"/>
      <c r="W540" s="7"/>
    </row>
    <row r="541" spans="1:23" ht="15">
      <c r="A541" s="13"/>
      <c r="B541" s="197" t="s">
        <v>25</v>
      </c>
      <c r="C541" s="198"/>
      <c r="D541" s="237"/>
      <c r="E541" s="216"/>
      <c r="F541" s="217"/>
      <c r="G541" s="171"/>
      <c r="H541" s="57">
        <v>14543603</v>
      </c>
      <c r="I541" s="57">
        <v>294570</v>
      </c>
      <c r="J541" s="57">
        <v>3121644</v>
      </c>
      <c r="K541" s="57">
        <v>3816457</v>
      </c>
      <c r="L541" s="57">
        <v>3647094</v>
      </c>
      <c r="M541" s="57">
        <v>2625013</v>
      </c>
      <c r="N541" s="57"/>
      <c r="O541" s="57"/>
      <c r="P541" s="57"/>
      <c r="Q541" s="57"/>
      <c r="R541" s="57"/>
      <c r="S541" s="57"/>
      <c r="T541" s="57"/>
      <c r="U541" s="57"/>
      <c r="V541" s="57"/>
      <c r="W541" s="7"/>
    </row>
    <row r="542" spans="1:23" s="55" customFormat="1" ht="169.5" customHeight="1">
      <c r="A542" s="58">
        <v>6</v>
      </c>
      <c r="B542" s="84" t="s">
        <v>160</v>
      </c>
      <c r="C542" s="60" t="s">
        <v>161</v>
      </c>
      <c r="D542" s="235" t="s">
        <v>18</v>
      </c>
      <c r="E542" s="212" t="s">
        <v>36</v>
      </c>
      <c r="F542" s="213"/>
      <c r="G542" s="178" t="s">
        <v>135</v>
      </c>
      <c r="H542" s="59">
        <v>2258075</v>
      </c>
      <c r="I542" s="59">
        <f t="shared" ref="I542:K542" si="235">SUM(I543)</f>
        <v>469673</v>
      </c>
      <c r="J542" s="59">
        <f t="shared" si="235"/>
        <v>734092</v>
      </c>
      <c r="K542" s="59">
        <f t="shared" si="235"/>
        <v>458394</v>
      </c>
      <c r="L542" s="59"/>
      <c r="M542" s="59"/>
      <c r="N542" s="59"/>
      <c r="O542" s="59"/>
      <c r="P542" s="59"/>
      <c r="Q542" s="59"/>
      <c r="R542" s="59"/>
      <c r="S542" s="59"/>
      <c r="T542" s="59"/>
      <c r="U542" s="59"/>
      <c r="V542" s="59"/>
      <c r="W542" s="59">
        <v>0</v>
      </c>
    </row>
    <row r="543" spans="1:23" s="55" customFormat="1" ht="15">
      <c r="A543" s="166" t="s">
        <v>12</v>
      </c>
      <c r="B543" s="167"/>
      <c r="C543" s="168"/>
      <c r="D543" s="236"/>
      <c r="E543" s="214"/>
      <c r="F543" s="215"/>
      <c r="G543" s="170"/>
      <c r="H543" s="57">
        <v>2258075</v>
      </c>
      <c r="I543" s="57">
        <f t="shared" ref="I543:K543" si="236">SUM(I544:I544)</f>
        <v>469673</v>
      </c>
      <c r="J543" s="57">
        <f t="shared" si="236"/>
        <v>734092</v>
      </c>
      <c r="K543" s="57">
        <f t="shared" si="236"/>
        <v>458394</v>
      </c>
      <c r="L543" s="57"/>
      <c r="M543" s="57"/>
      <c r="N543" s="57"/>
      <c r="O543" s="57"/>
      <c r="P543" s="57"/>
      <c r="Q543" s="57"/>
      <c r="R543" s="57"/>
      <c r="S543" s="57"/>
      <c r="T543" s="57"/>
      <c r="U543" s="57"/>
      <c r="V543" s="57"/>
      <c r="W543" s="57"/>
    </row>
    <row r="544" spans="1:23" s="55" customFormat="1" ht="15">
      <c r="A544" s="13"/>
      <c r="B544" s="197" t="s">
        <v>25</v>
      </c>
      <c r="C544" s="198"/>
      <c r="D544" s="237"/>
      <c r="E544" s="216"/>
      <c r="F544" s="217"/>
      <c r="G544" s="171"/>
      <c r="H544" s="57">
        <v>2258075</v>
      </c>
      <c r="I544" s="57">
        <v>469673</v>
      </c>
      <c r="J544" s="57">
        <v>734092</v>
      </c>
      <c r="K544" s="57">
        <v>458394</v>
      </c>
      <c r="L544" s="57"/>
      <c r="M544" s="57"/>
      <c r="N544" s="57"/>
      <c r="O544" s="57"/>
      <c r="P544" s="57"/>
      <c r="Q544" s="57"/>
      <c r="R544" s="57"/>
      <c r="S544" s="57"/>
      <c r="T544" s="57"/>
      <c r="U544" s="57"/>
      <c r="V544" s="57"/>
      <c r="W544" s="57"/>
    </row>
    <row r="545" spans="1:23" s="17" customFormat="1" ht="169.5" customHeight="1">
      <c r="A545" s="69">
        <v>7</v>
      </c>
      <c r="B545" s="98" t="s">
        <v>279</v>
      </c>
      <c r="C545" s="98" t="s">
        <v>252</v>
      </c>
      <c r="D545" s="222" t="s">
        <v>253</v>
      </c>
      <c r="E545" s="160" t="s">
        <v>170</v>
      </c>
      <c r="F545" s="161"/>
      <c r="G545" s="149" t="s">
        <v>135</v>
      </c>
      <c r="H545" s="68">
        <f>SUM(H546)</f>
        <v>396855</v>
      </c>
      <c r="I545" s="68">
        <f>SUM(I546)</f>
        <v>16135</v>
      </c>
      <c r="J545" s="68">
        <f t="shared" ref="J545:L545" si="237">SUM(J546)</f>
        <v>113681</v>
      </c>
      <c r="K545" s="68">
        <f t="shared" si="237"/>
        <v>182135</v>
      </c>
      <c r="L545" s="68">
        <f t="shared" si="237"/>
        <v>84904</v>
      </c>
      <c r="M545" s="68"/>
      <c r="N545" s="68"/>
      <c r="O545" s="68"/>
      <c r="P545" s="68"/>
      <c r="Q545" s="68"/>
      <c r="R545" s="68"/>
      <c r="S545" s="68"/>
      <c r="T545" s="68"/>
      <c r="U545" s="68"/>
      <c r="V545" s="68"/>
      <c r="W545" s="68">
        <v>0</v>
      </c>
    </row>
    <row r="546" spans="1:23" s="17" customFormat="1" ht="15">
      <c r="A546" s="152" t="s">
        <v>12</v>
      </c>
      <c r="B546" s="153"/>
      <c r="C546" s="154"/>
      <c r="D546" s="223"/>
      <c r="E546" s="162"/>
      <c r="F546" s="163"/>
      <c r="G546" s="150"/>
      <c r="H546" s="61">
        <f>SUM(I546:L546)</f>
        <v>396855</v>
      </c>
      <c r="I546" s="61">
        <f>SUM(I547:I547)</f>
        <v>16135</v>
      </c>
      <c r="J546" s="61">
        <f t="shared" ref="J546:L546" si="238">SUM(J547:J547)</f>
        <v>113681</v>
      </c>
      <c r="K546" s="61">
        <f t="shared" si="238"/>
        <v>182135</v>
      </c>
      <c r="L546" s="61">
        <f t="shared" si="238"/>
        <v>84904</v>
      </c>
      <c r="M546" s="61"/>
      <c r="N546" s="61"/>
      <c r="O546" s="61"/>
      <c r="P546" s="61"/>
      <c r="Q546" s="61"/>
      <c r="R546" s="61"/>
      <c r="S546" s="61"/>
      <c r="T546" s="61"/>
      <c r="U546" s="61"/>
      <c r="V546" s="61"/>
      <c r="W546" s="61"/>
    </row>
    <row r="547" spans="1:23" s="17" customFormat="1" ht="15">
      <c r="A547" s="96"/>
      <c r="B547" s="184" t="s">
        <v>25</v>
      </c>
      <c r="C547" s="185"/>
      <c r="D547" s="224"/>
      <c r="E547" s="164"/>
      <c r="F547" s="165"/>
      <c r="G547" s="151"/>
      <c r="H547" s="61">
        <f>SUM(I547:L547)</f>
        <v>396855</v>
      </c>
      <c r="I547" s="61">
        <v>16135</v>
      </c>
      <c r="J547" s="61">
        <v>113681</v>
      </c>
      <c r="K547" s="61">
        <v>182135</v>
      </c>
      <c r="L547" s="61">
        <v>84904</v>
      </c>
      <c r="M547" s="61"/>
      <c r="N547" s="61"/>
      <c r="O547" s="61"/>
      <c r="P547" s="61"/>
      <c r="Q547" s="61"/>
      <c r="R547" s="61"/>
      <c r="S547" s="61"/>
      <c r="T547" s="61"/>
      <c r="U547" s="61"/>
      <c r="V547" s="61"/>
      <c r="W547" s="61"/>
    </row>
    <row r="548" spans="1:23" s="25" customFormat="1">
      <c r="A548" s="31"/>
      <c r="B548" s="32"/>
      <c r="C548" s="32"/>
      <c r="D548" s="31"/>
      <c r="E548" s="31"/>
      <c r="F548" s="31"/>
      <c r="G548" s="31"/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</row>
    <row r="549" spans="1:23" s="41" customFormat="1" ht="15">
      <c r="A549" s="238" t="s">
        <v>2</v>
      </c>
      <c r="B549" s="239"/>
      <c r="C549" s="240"/>
      <c r="D549" s="39"/>
      <c r="E549" s="241"/>
      <c r="F549" s="242"/>
      <c r="G549" s="48"/>
      <c r="H549" s="40">
        <f>SUM(H554,H559)</f>
        <v>3135671877</v>
      </c>
      <c r="I549" s="40">
        <f t="shared" ref="I549:V549" si="239">SUM(I554,I559)</f>
        <v>445450248</v>
      </c>
      <c r="J549" s="40">
        <f t="shared" si="239"/>
        <v>1080251348</v>
      </c>
      <c r="K549" s="40">
        <f t="shared" si="239"/>
        <v>829741854</v>
      </c>
      <c r="L549" s="40">
        <f t="shared" si="239"/>
        <v>258654854</v>
      </c>
      <c r="M549" s="40">
        <f t="shared" si="239"/>
        <v>29713458</v>
      </c>
      <c r="N549" s="40">
        <f t="shared" si="239"/>
        <v>24690096</v>
      </c>
      <c r="O549" s="40">
        <f t="shared" si="239"/>
        <v>23597136</v>
      </c>
      <c r="P549" s="40">
        <f t="shared" si="239"/>
        <v>10568311</v>
      </c>
      <c r="Q549" s="40">
        <f t="shared" si="239"/>
        <v>10126140</v>
      </c>
      <c r="R549" s="40">
        <f t="shared" si="239"/>
        <v>4289403</v>
      </c>
      <c r="S549" s="40">
        <f t="shared" si="239"/>
        <v>3555668</v>
      </c>
      <c r="T549" s="40">
        <f t="shared" si="239"/>
        <v>341950</v>
      </c>
      <c r="U549" s="40">
        <f t="shared" si="239"/>
        <v>200000</v>
      </c>
      <c r="V549" s="40">
        <f t="shared" si="239"/>
        <v>200000</v>
      </c>
      <c r="W549" s="40">
        <f>SUM(W525,W448,W5)</f>
        <v>1743295444</v>
      </c>
    </row>
    <row r="550" spans="1:23" s="41" customFormat="1" ht="15">
      <c r="A550" s="42"/>
      <c r="B550" s="233" t="s">
        <v>23</v>
      </c>
      <c r="C550" s="234"/>
      <c r="D550" s="39"/>
      <c r="E550" s="53"/>
      <c r="F550" s="54"/>
      <c r="G550" s="48"/>
      <c r="H550" s="40">
        <f>SUM(H555,H560)</f>
        <v>1420787974</v>
      </c>
      <c r="I550" s="40">
        <f t="shared" ref="I550:V550" si="240">SUM(I555,I560)</f>
        <v>129869677</v>
      </c>
      <c r="J550" s="40">
        <f t="shared" si="240"/>
        <v>659906985</v>
      </c>
      <c r="K550" s="40">
        <f t="shared" si="240"/>
        <v>493625355</v>
      </c>
      <c r="L550" s="40">
        <f t="shared" si="240"/>
        <v>92952034</v>
      </c>
      <c r="M550" s="40">
        <f t="shared" si="240"/>
        <v>0</v>
      </c>
      <c r="N550" s="40">
        <f t="shared" si="240"/>
        <v>0</v>
      </c>
      <c r="O550" s="40">
        <f t="shared" si="240"/>
        <v>0</v>
      </c>
      <c r="P550" s="40">
        <f t="shared" si="240"/>
        <v>0</v>
      </c>
      <c r="Q550" s="40">
        <f t="shared" si="240"/>
        <v>0</v>
      </c>
      <c r="R550" s="40">
        <f t="shared" si="240"/>
        <v>0</v>
      </c>
      <c r="S550" s="40">
        <f t="shared" si="240"/>
        <v>0</v>
      </c>
      <c r="T550" s="40">
        <f t="shared" si="240"/>
        <v>0</v>
      </c>
      <c r="U550" s="40">
        <f t="shared" si="240"/>
        <v>0</v>
      </c>
      <c r="V550" s="40">
        <f t="shared" si="240"/>
        <v>0</v>
      </c>
      <c r="W550" s="40"/>
    </row>
    <row r="551" spans="1:23" s="41" customFormat="1" ht="15">
      <c r="A551" s="43"/>
      <c r="B551" s="233" t="s">
        <v>25</v>
      </c>
      <c r="C551" s="234"/>
      <c r="D551" s="39"/>
      <c r="E551" s="53"/>
      <c r="F551" s="54"/>
      <c r="G551" s="48"/>
      <c r="H551" s="40">
        <f t="shared" ref="H551" si="241">SUM(H556,H561)</f>
        <v>778941479</v>
      </c>
      <c r="I551" s="40">
        <f t="shared" ref="I551:V551" si="242">SUM(I556,I561)</f>
        <v>110964169</v>
      </c>
      <c r="J551" s="40">
        <f t="shared" si="242"/>
        <v>214063458</v>
      </c>
      <c r="K551" s="40">
        <f t="shared" si="242"/>
        <v>154078842</v>
      </c>
      <c r="L551" s="40">
        <f t="shared" si="242"/>
        <v>88707962</v>
      </c>
      <c r="M551" s="40">
        <f t="shared" si="242"/>
        <v>22880958</v>
      </c>
      <c r="N551" s="40">
        <f t="shared" si="242"/>
        <v>21690096</v>
      </c>
      <c r="O551" s="40">
        <f t="shared" si="242"/>
        <v>23597136</v>
      </c>
      <c r="P551" s="40">
        <f t="shared" si="242"/>
        <v>10568311</v>
      </c>
      <c r="Q551" s="40">
        <f t="shared" si="242"/>
        <v>10126140</v>
      </c>
      <c r="R551" s="40">
        <f t="shared" si="242"/>
        <v>4289403</v>
      </c>
      <c r="S551" s="40">
        <f t="shared" si="242"/>
        <v>3555668</v>
      </c>
      <c r="T551" s="40">
        <f t="shared" si="242"/>
        <v>341950</v>
      </c>
      <c r="U551" s="40">
        <f t="shared" si="242"/>
        <v>200000</v>
      </c>
      <c r="V551" s="40">
        <f t="shared" si="242"/>
        <v>200000</v>
      </c>
      <c r="W551" s="40"/>
    </row>
    <row r="552" spans="1:23" s="41" customFormat="1" ht="15">
      <c r="A552" s="43"/>
      <c r="B552" s="233" t="s">
        <v>24</v>
      </c>
      <c r="C552" s="234"/>
      <c r="D552" s="39"/>
      <c r="E552" s="53"/>
      <c r="F552" s="54"/>
      <c r="G552" s="48"/>
      <c r="H552" s="40">
        <f t="shared" ref="H552:V552" si="243">SUM(H557,H562)</f>
        <v>870094877</v>
      </c>
      <c r="I552" s="40">
        <f t="shared" si="243"/>
        <v>195060341</v>
      </c>
      <c r="J552" s="40">
        <f t="shared" si="243"/>
        <v>200840180</v>
      </c>
      <c r="K552" s="40">
        <f t="shared" si="243"/>
        <v>171920781</v>
      </c>
      <c r="L552" s="40">
        <f t="shared" si="243"/>
        <v>63492203</v>
      </c>
      <c r="M552" s="40">
        <f t="shared" si="243"/>
        <v>0</v>
      </c>
      <c r="N552" s="40">
        <f t="shared" si="243"/>
        <v>0</v>
      </c>
      <c r="O552" s="40">
        <f t="shared" si="243"/>
        <v>0</v>
      </c>
      <c r="P552" s="40">
        <f t="shared" si="243"/>
        <v>0</v>
      </c>
      <c r="Q552" s="40">
        <f t="shared" si="243"/>
        <v>0</v>
      </c>
      <c r="R552" s="40">
        <f t="shared" si="243"/>
        <v>0</v>
      </c>
      <c r="S552" s="40">
        <f t="shared" si="243"/>
        <v>0</v>
      </c>
      <c r="T552" s="40">
        <f t="shared" si="243"/>
        <v>0</v>
      </c>
      <c r="U552" s="40">
        <f t="shared" si="243"/>
        <v>0</v>
      </c>
      <c r="V552" s="40">
        <f t="shared" si="243"/>
        <v>0</v>
      </c>
      <c r="W552" s="40"/>
    </row>
    <row r="553" spans="1:23" s="41" customFormat="1" ht="15">
      <c r="A553" s="42"/>
      <c r="B553" s="233" t="s">
        <v>26</v>
      </c>
      <c r="C553" s="234"/>
      <c r="D553" s="39"/>
      <c r="E553" s="53"/>
      <c r="F553" s="54"/>
      <c r="G553" s="48" t="s">
        <v>174</v>
      </c>
      <c r="H553" s="40">
        <f t="shared" ref="H553:V553" si="244">SUM(H558,H563)</f>
        <v>65847547</v>
      </c>
      <c r="I553" s="40">
        <f t="shared" si="244"/>
        <v>9556061</v>
      </c>
      <c r="J553" s="40">
        <f t="shared" si="244"/>
        <v>5440725</v>
      </c>
      <c r="K553" s="40">
        <f t="shared" si="244"/>
        <v>10116876</v>
      </c>
      <c r="L553" s="40">
        <f t="shared" si="244"/>
        <v>13502655</v>
      </c>
      <c r="M553" s="40">
        <f t="shared" si="244"/>
        <v>6832500</v>
      </c>
      <c r="N553" s="40">
        <f t="shared" si="244"/>
        <v>3000000</v>
      </c>
      <c r="O553" s="40">
        <f t="shared" si="244"/>
        <v>0</v>
      </c>
      <c r="P553" s="40">
        <f t="shared" si="244"/>
        <v>0</v>
      </c>
      <c r="Q553" s="40">
        <f t="shared" si="244"/>
        <v>0</v>
      </c>
      <c r="R553" s="40">
        <f t="shared" si="244"/>
        <v>0</v>
      </c>
      <c r="S553" s="40">
        <f t="shared" si="244"/>
        <v>0</v>
      </c>
      <c r="T553" s="40">
        <f t="shared" si="244"/>
        <v>0</v>
      </c>
      <c r="U553" s="40">
        <f t="shared" si="244"/>
        <v>0</v>
      </c>
      <c r="V553" s="40">
        <f t="shared" si="244"/>
        <v>0</v>
      </c>
      <c r="W553" s="40"/>
    </row>
    <row r="554" spans="1:23" s="41" customFormat="1" ht="15">
      <c r="A554" s="253" t="s">
        <v>3</v>
      </c>
      <c r="B554" s="254"/>
      <c r="C554" s="255"/>
      <c r="D554" s="39"/>
      <c r="E554" s="256"/>
      <c r="F554" s="257"/>
      <c r="G554" s="48"/>
      <c r="H554" s="40">
        <f>SUM(H555:H558)</f>
        <v>857058753</v>
      </c>
      <c r="I554" s="40">
        <f t="shared" ref="I554:V554" si="245">SUM(I555:I558)</f>
        <v>198687755</v>
      </c>
      <c r="J554" s="40">
        <f t="shared" si="245"/>
        <v>221174329</v>
      </c>
      <c r="K554" s="40">
        <f t="shared" si="245"/>
        <v>125426181</v>
      </c>
      <c r="L554" s="40">
        <f t="shared" si="245"/>
        <v>56351173</v>
      </c>
      <c r="M554" s="40">
        <f t="shared" si="245"/>
        <v>16713458</v>
      </c>
      <c r="N554" s="40">
        <f t="shared" si="245"/>
        <v>11690096</v>
      </c>
      <c r="O554" s="40">
        <f t="shared" si="245"/>
        <v>8597136</v>
      </c>
      <c r="P554" s="40">
        <f t="shared" si="245"/>
        <v>7741712</v>
      </c>
      <c r="Q554" s="40">
        <f t="shared" si="245"/>
        <v>7299541</v>
      </c>
      <c r="R554" s="40">
        <f t="shared" si="245"/>
        <v>4289403</v>
      </c>
      <c r="S554" s="40">
        <f t="shared" si="245"/>
        <v>3555668</v>
      </c>
      <c r="T554" s="40">
        <f t="shared" si="245"/>
        <v>341950</v>
      </c>
      <c r="U554" s="40">
        <f t="shared" si="245"/>
        <v>200000</v>
      </c>
      <c r="V554" s="40">
        <f t="shared" si="245"/>
        <v>200000</v>
      </c>
      <c r="W554" s="40"/>
    </row>
    <row r="555" spans="1:23" s="41" customFormat="1" ht="15">
      <c r="A555" s="42"/>
      <c r="B555" s="233" t="s">
        <v>23</v>
      </c>
      <c r="C555" s="234"/>
      <c r="D555" s="39"/>
      <c r="E555" s="53"/>
      <c r="F555" s="54"/>
      <c r="G555" s="48"/>
      <c r="H555" s="40">
        <f>SUM(H64,H72,H78,H184,H193,H200,H220,H232,H241,H248,H210,H215,H225,H253,)</f>
        <v>128690632</v>
      </c>
      <c r="I555" s="40">
        <f t="shared" ref="I555:V555" si="246">SUM(I64,I72,I78,I184,I193,I200,I220,I232,I241,I248,I210,I215,I225,I253,)</f>
        <v>31665044</v>
      </c>
      <c r="J555" s="40">
        <f t="shared" si="246"/>
        <v>43705937</v>
      </c>
      <c r="K555" s="40">
        <f t="shared" si="246"/>
        <v>35163300</v>
      </c>
      <c r="L555" s="40">
        <f t="shared" si="246"/>
        <v>881900</v>
      </c>
      <c r="M555" s="40">
        <f t="shared" si="246"/>
        <v>0</v>
      </c>
      <c r="N555" s="40">
        <f t="shared" si="246"/>
        <v>0</v>
      </c>
      <c r="O555" s="40">
        <f t="shared" si="246"/>
        <v>0</v>
      </c>
      <c r="P555" s="40">
        <f t="shared" si="246"/>
        <v>0</v>
      </c>
      <c r="Q555" s="40">
        <f t="shared" si="246"/>
        <v>0</v>
      </c>
      <c r="R555" s="40">
        <f t="shared" si="246"/>
        <v>0</v>
      </c>
      <c r="S555" s="40">
        <f t="shared" si="246"/>
        <v>0</v>
      </c>
      <c r="T555" s="40">
        <f t="shared" si="246"/>
        <v>0</v>
      </c>
      <c r="U555" s="40">
        <f t="shared" si="246"/>
        <v>0</v>
      </c>
      <c r="V555" s="40">
        <f t="shared" si="246"/>
        <v>0</v>
      </c>
      <c r="W555" s="40"/>
    </row>
    <row r="556" spans="1:23" s="41" customFormat="1" ht="15">
      <c r="A556" s="43"/>
      <c r="B556" s="233" t="s">
        <v>25</v>
      </c>
      <c r="C556" s="234"/>
      <c r="D556" s="39"/>
      <c r="E556" s="53"/>
      <c r="F556" s="54"/>
      <c r="G556" s="48"/>
      <c r="H556" s="40">
        <f t="shared" ref="H556:V556" si="247">SUM(H65,H73,H164,H79,H86,H171,H177,H185,H233,H242,H298,H453,H271,H291,H321,H340,H352,H361,H365,H377,H390,H402,H406,H418,H423,H427,H431,H457,H470,H474,H478,H482,H486,H490,H494,H498,H502,H506,H510,H514,H518,H529,H532,H535,H538,H541,H544,H211,H266,H216,H344,H394,H436,H466,H522,H547,H326,H348,H381,H462,H330,H335)</f>
        <v>372197378</v>
      </c>
      <c r="I556" s="40">
        <f t="shared" si="247"/>
        <v>83829180</v>
      </c>
      <c r="J556" s="40">
        <f t="shared" si="247"/>
        <v>102935997</v>
      </c>
      <c r="K556" s="40">
        <f t="shared" si="247"/>
        <v>30372356</v>
      </c>
      <c r="L556" s="40">
        <f t="shared" si="247"/>
        <v>27737732</v>
      </c>
      <c r="M556" s="40">
        <f t="shared" si="247"/>
        <v>12880958</v>
      </c>
      <c r="N556" s="40">
        <f t="shared" si="247"/>
        <v>11690096</v>
      </c>
      <c r="O556" s="40">
        <f t="shared" si="247"/>
        <v>8597136</v>
      </c>
      <c r="P556" s="40">
        <f t="shared" si="247"/>
        <v>7741712</v>
      </c>
      <c r="Q556" s="40">
        <f t="shared" si="247"/>
        <v>7299541</v>
      </c>
      <c r="R556" s="40">
        <f t="shared" si="247"/>
        <v>4289403</v>
      </c>
      <c r="S556" s="40">
        <f t="shared" si="247"/>
        <v>3555668</v>
      </c>
      <c r="T556" s="40">
        <f t="shared" si="247"/>
        <v>341950</v>
      </c>
      <c r="U556" s="40">
        <f t="shared" si="247"/>
        <v>200000</v>
      </c>
      <c r="V556" s="40">
        <f t="shared" si="247"/>
        <v>200000</v>
      </c>
      <c r="W556" s="40"/>
    </row>
    <row r="557" spans="1:23" s="41" customFormat="1" ht="15">
      <c r="A557" s="43"/>
      <c r="B557" s="233" t="s">
        <v>24</v>
      </c>
      <c r="C557" s="234"/>
      <c r="D557" s="39"/>
      <c r="E557" s="53"/>
      <c r="F557" s="54"/>
      <c r="G557" s="48"/>
      <c r="H557" s="40">
        <f t="shared" ref="H557:V557" si="248">SUM(H305,H66,H74,H186,H194,H201,H234,H249,H292,H299,H310,H385,H432,H458,H275,H226,H254,)</f>
        <v>338310743</v>
      </c>
      <c r="I557" s="40">
        <f t="shared" si="248"/>
        <v>75803531</v>
      </c>
      <c r="J557" s="40">
        <f t="shared" si="248"/>
        <v>74262395</v>
      </c>
      <c r="K557" s="40">
        <f t="shared" si="248"/>
        <v>57310525</v>
      </c>
      <c r="L557" s="40">
        <f t="shared" si="248"/>
        <v>23944041</v>
      </c>
      <c r="M557" s="40">
        <f t="shared" si="248"/>
        <v>0</v>
      </c>
      <c r="N557" s="40">
        <f t="shared" si="248"/>
        <v>0</v>
      </c>
      <c r="O557" s="40">
        <f t="shared" si="248"/>
        <v>0</v>
      </c>
      <c r="P557" s="40">
        <f t="shared" si="248"/>
        <v>0</v>
      </c>
      <c r="Q557" s="40">
        <f t="shared" si="248"/>
        <v>0</v>
      </c>
      <c r="R557" s="40">
        <f t="shared" si="248"/>
        <v>0</v>
      </c>
      <c r="S557" s="40">
        <f t="shared" si="248"/>
        <v>0</v>
      </c>
      <c r="T557" s="40">
        <f t="shared" si="248"/>
        <v>0</v>
      </c>
      <c r="U557" s="40">
        <f t="shared" si="248"/>
        <v>0</v>
      </c>
      <c r="V557" s="40">
        <f t="shared" si="248"/>
        <v>0</v>
      </c>
      <c r="W557" s="40"/>
    </row>
    <row r="558" spans="1:23" s="41" customFormat="1" ht="15">
      <c r="A558" s="42"/>
      <c r="B558" s="233" t="s">
        <v>26</v>
      </c>
      <c r="C558" s="234"/>
      <c r="D558" s="39"/>
      <c r="E558" s="53"/>
      <c r="F558" s="54"/>
      <c r="G558" s="48"/>
      <c r="H558" s="40">
        <f t="shared" ref="H558:V558" si="249">H322+H437+H331+H336</f>
        <v>17860000</v>
      </c>
      <c r="I558" s="40">
        <f t="shared" si="249"/>
        <v>7390000</v>
      </c>
      <c r="J558" s="40">
        <f t="shared" si="249"/>
        <v>270000</v>
      </c>
      <c r="K558" s="40">
        <f t="shared" si="249"/>
        <v>2580000</v>
      </c>
      <c r="L558" s="40">
        <f t="shared" si="249"/>
        <v>3787500</v>
      </c>
      <c r="M558" s="40">
        <f t="shared" si="249"/>
        <v>3832500</v>
      </c>
      <c r="N558" s="40">
        <f t="shared" si="249"/>
        <v>0</v>
      </c>
      <c r="O558" s="40">
        <f t="shared" si="249"/>
        <v>0</v>
      </c>
      <c r="P558" s="40">
        <f t="shared" si="249"/>
        <v>0</v>
      </c>
      <c r="Q558" s="40">
        <f t="shared" si="249"/>
        <v>0</v>
      </c>
      <c r="R558" s="40">
        <f t="shared" si="249"/>
        <v>0</v>
      </c>
      <c r="S558" s="40">
        <f t="shared" si="249"/>
        <v>0</v>
      </c>
      <c r="T558" s="40">
        <f t="shared" si="249"/>
        <v>0</v>
      </c>
      <c r="U558" s="40">
        <f t="shared" si="249"/>
        <v>0</v>
      </c>
      <c r="V558" s="40">
        <f t="shared" si="249"/>
        <v>0</v>
      </c>
      <c r="W558" s="40"/>
    </row>
    <row r="559" spans="1:23" s="41" customFormat="1" ht="15">
      <c r="A559" s="253" t="s">
        <v>4</v>
      </c>
      <c r="B559" s="254"/>
      <c r="C559" s="255"/>
      <c r="D559" s="39"/>
      <c r="E559" s="256"/>
      <c r="F559" s="257"/>
      <c r="G559" s="48"/>
      <c r="H559" s="40">
        <f t="shared" ref="H559:V559" si="250">SUM(H560:H563)</f>
        <v>2278613124</v>
      </c>
      <c r="I559" s="40">
        <f t="shared" si="250"/>
        <v>246762493</v>
      </c>
      <c r="J559" s="40">
        <f t="shared" si="250"/>
        <v>859077019</v>
      </c>
      <c r="K559" s="40">
        <f t="shared" si="250"/>
        <v>704315673</v>
      </c>
      <c r="L559" s="40">
        <f t="shared" si="250"/>
        <v>202303681</v>
      </c>
      <c r="M559" s="40">
        <f t="shared" si="250"/>
        <v>13000000</v>
      </c>
      <c r="N559" s="40">
        <f t="shared" si="250"/>
        <v>13000000</v>
      </c>
      <c r="O559" s="40">
        <f t="shared" si="250"/>
        <v>15000000</v>
      </c>
      <c r="P559" s="40">
        <f t="shared" si="250"/>
        <v>2826599</v>
      </c>
      <c r="Q559" s="40">
        <f t="shared" si="250"/>
        <v>2826599</v>
      </c>
      <c r="R559" s="40">
        <f t="shared" si="250"/>
        <v>0</v>
      </c>
      <c r="S559" s="40">
        <f t="shared" si="250"/>
        <v>0</v>
      </c>
      <c r="T559" s="40">
        <f t="shared" si="250"/>
        <v>0</v>
      </c>
      <c r="U559" s="40">
        <f t="shared" si="250"/>
        <v>0</v>
      </c>
      <c r="V559" s="40">
        <f t="shared" si="250"/>
        <v>0</v>
      </c>
      <c r="W559" s="40"/>
    </row>
    <row r="560" spans="1:23" s="41" customFormat="1" ht="15">
      <c r="A560" s="42"/>
      <c r="B560" s="233" t="s">
        <v>23</v>
      </c>
      <c r="C560" s="234"/>
      <c r="D560" s="39"/>
      <c r="E560" s="53"/>
      <c r="F560" s="54"/>
      <c r="G560" s="48"/>
      <c r="H560" s="40">
        <f>SUM(H15,H20,H25,H30,H35,H40,H45,H55,H60,H68,H136,H81,H88,H95,H101,H106,H112,H118,H124,H130,H141,H146,H166,H173,H179,H188,H196,H206,H222,H236,H244,H159,H228,H152,H50)</f>
        <v>1292097342</v>
      </c>
      <c r="I560" s="40">
        <f t="shared" ref="I560:V560" si="251">SUM(I15,I20,I25,I30,I35,I40,I45,I55,I60,I68,I136,I81,I88,I95,I101,I106,I112,I118,I124,I130,I141,I146,I166,I173,I179,I188,I196,I206,I222,I236,I244,I159,I228,I152,I50)</f>
        <v>98204633</v>
      </c>
      <c r="J560" s="40">
        <f t="shared" si="251"/>
        <v>616201048</v>
      </c>
      <c r="K560" s="40">
        <f t="shared" si="251"/>
        <v>458462055</v>
      </c>
      <c r="L560" s="40">
        <f t="shared" si="251"/>
        <v>92070134</v>
      </c>
      <c r="M560" s="40">
        <f t="shared" si="251"/>
        <v>0</v>
      </c>
      <c r="N560" s="40">
        <f t="shared" si="251"/>
        <v>0</v>
      </c>
      <c r="O560" s="40">
        <f t="shared" si="251"/>
        <v>0</v>
      </c>
      <c r="P560" s="40">
        <f t="shared" si="251"/>
        <v>0</v>
      </c>
      <c r="Q560" s="40">
        <f t="shared" si="251"/>
        <v>0</v>
      </c>
      <c r="R560" s="40">
        <f t="shared" si="251"/>
        <v>0</v>
      </c>
      <c r="S560" s="40">
        <f t="shared" si="251"/>
        <v>0</v>
      </c>
      <c r="T560" s="40">
        <f t="shared" si="251"/>
        <v>0</v>
      </c>
      <c r="U560" s="40">
        <f t="shared" si="251"/>
        <v>0</v>
      </c>
      <c r="V560" s="40">
        <f t="shared" si="251"/>
        <v>0</v>
      </c>
      <c r="W560" s="40"/>
    </row>
    <row r="561" spans="1:24" s="41" customFormat="1" ht="15">
      <c r="A561" s="43"/>
      <c r="B561" s="233" t="s">
        <v>25</v>
      </c>
      <c r="C561" s="234"/>
      <c r="D561" s="39"/>
      <c r="E561" s="53"/>
      <c r="F561" s="54"/>
      <c r="G561" s="48"/>
      <c r="H561" s="40">
        <f>SUM(H82,H89,H96,H102,H107,H113,H119,H125,H131,H137,H147,H167,H174,H180,H189,H207,H237,H245,H294,H301,H316,H357,H370,H374,H399,H411,H420,H446,H268,H160,H415,H442,H153,)</f>
        <v>406744101</v>
      </c>
      <c r="I561" s="40">
        <f t="shared" ref="I561:V561" si="252">SUM(I82,I89,I96,I102,I107,I113,I119,I125,I131,I137,I147,I167,I174,I180,I189,I207,I237,I245,I294,I301,I316,I357,I370,I374,I399,I411,I420,I446,I268,I160,I415,I442,I153,)</f>
        <v>27134989</v>
      </c>
      <c r="J561" s="40">
        <f t="shared" si="252"/>
        <v>111127461</v>
      </c>
      <c r="K561" s="40">
        <f t="shared" si="252"/>
        <v>123706486</v>
      </c>
      <c r="L561" s="40">
        <f t="shared" si="252"/>
        <v>60970230</v>
      </c>
      <c r="M561" s="40">
        <f t="shared" si="252"/>
        <v>10000000</v>
      </c>
      <c r="N561" s="40">
        <f t="shared" si="252"/>
        <v>10000000</v>
      </c>
      <c r="O561" s="40">
        <f t="shared" si="252"/>
        <v>15000000</v>
      </c>
      <c r="P561" s="40">
        <f t="shared" si="252"/>
        <v>2826599</v>
      </c>
      <c r="Q561" s="40">
        <f t="shared" si="252"/>
        <v>2826599</v>
      </c>
      <c r="R561" s="40">
        <f t="shared" si="252"/>
        <v>0</v>
      </c>
      <c r="S561" s="40">
        <f t="shared" si="252"/>
        <v>0</v>
      </c>
      <c r="T561" s="40">
        <f t="shared" si="252"/>
        <v>0</v>
      </c>
      <c r="U561" s="40">
        <f t="shared" si="252"/>
        <v>0</v>
      </c>
      <c r="V561" s="40">
        <f t="shared" si="252"/>
        <v>0</v>
      </c>
      <c r="W561" s="40"/>
    </row>
    <row r="562" spans="1:24" s="41" customFormat="1" ht="15">
      <c r="A562" s="43"/>
      <c r="B562" s="233" t="s">
        <v>24</v>
      </c>
      <c r="C562" s="234"/>
      <c r="D562" s="39"/>
      <c r="E562" s="53"/>
      <c r="F562" s="54"/>
      <c r="G562" s="48"/>
      <c r="H562" s="40">
        <f t="shared" ref="H562:V562" si="253">SUM(H16,H21,H26,H31,H36,H41,H46,H56,H61,H307,H69,H90,H97,H114,H132,H142,H168,H190,H197,H238,H295,H302,H312,H317,H387,H108,H120,H126,H181,H280,H288,H161,H229,H154,H51,H284)</f>
        <v>531784134</v>
      </c>
      <c r="I562" s="40">
        <f t="shared" si="253"/>
        <v>119256810</v>
      </c>
      <c r="J562" s="40">
        <f t="shared" si="253"/>
        <v>126577785</v>
      </c>
      <c r="K562" s="40">
        <f t="shared" si="253"/>
        <v>114610256</v>
      </c>
      <c r="L562" s="40">
        <f t="shared" si="253"/>
        <v>39548162</v>
      </c>
      <c r="M562" s="40">
        <f t="shared" si="253"/>
        <v>0</v>
      </c>
      <c r="N562" s="40">
        <f t="shared" si="253"/>
        <v>0</v>
      </c>
      <c r="O562" s="40">
        <f t="shared" si="253"/>
        <v>0</v>
      </c>
      <c r="P562" s="40">
        <f t="shared" si="253"/>
        <v>0</v>
      </c>
      <c r="Q562" s="40">
        <f t="shared" si="253"/>
        <v>0</v>
      </c>
      <c r="R562" s="40">
        <f t="shared" si="253"/>
        <v>0</v>
      </c>
      <c r="S562" s="40">
        <f t="shared" si="253"/>
        <v>0</v>
      </c>
      <c r="T562" s="40">
        <f t="shared" si="253"/>
        <v>0</v>
      </c>
      <c r="U562" s="40">
        <f t="shared" si="253"/>
        <v>0</v>
      </c>
      <c r="V562" s="40">
        <f t="shared" si="253"/>
        <v>0</v>
      </c>
      <c r="W562" s="40"/>
    </row>
    <row r="563" spans="1:24" s="41" customFormat="1" ht="13.5" customHeight="1">
      <c r="A563" s="42"/>
      <c r="B563" s="233" t="s">
        <v>26</v>
      </c>
      <c r="C563" s="234"/>
      <c r="D563" s="39"/>
      <c r="E563" s="53"/>
      <c r="F563" s="54"/>
      <c r="G563" s="48"/>
      <c r="H563" s="40">
        <f>SUM(H83,H91,H318,H358,H148,H155)</f>
        <v>47987547</v>
      </c>
      <c r="I563" s="40">
        <f t="shared" ref="I563:V563" si="254">SUM(I83,I91,I318,I358,I148,I155)</f>
        <v>2166061</v>
      </c>
      <c r="J563" s="40">
        <f t="shared" si="254"/>
        <v>5170725</v>
      </c>
      <c r="K563" s="40">
        <f t="shared" si="254"/>
        <v>7536876</v>
      </c>
      <c r="L563" s="40">
        <f t="shared" si="254"/>
        <v>9715155</v>
      </c>
      <c r="M563" s="40">
        <f t="shared" si="254"/>
        <v>3000000</v>
      </c>
      <c r="N563" s="40">
        <f t="shared" si="254"/>
        <v>3000000</v>
      </c>
      <c r="O563" s="40">
        <f t="shared" si="254"/>
        <v>0</v>
      </c>
      <c r="P563" s="40">
        <f t="shared" si="254"/>
        <v>0</v>
      </c>
      <c r="Q563" s="40">
        <f t="shared" si="254"/>
        <v>0</v>
      </c>
      <c r="R563" s="40">
        <f t="shared" si="254"/>
        <v>0</v>
      </c>
      <c r="S563" s="40">
        <f t="shared" si="254"/>
        <v>0</v>
      </c>
      <c r="T563" s="40">
        <f t="shared" si="254"/>
        <v>0</v>
      </c>
      <c r="U563" s="40">
        <f t="shared" si="254"/>
        <v>0</v>
      </c>
      <c r="V563" s="40">
        <f t="shared" si="254"/>
        <v>0</v>
      </c>
      <c r="W563" s="40"/>
    </row>
    <row r="564" spans="1:24">
      <c r="G564" s="74" t="s">
        <v>231</v>
      </c>
      <c r="H564" s="1">
        <f t="shared" ref="H564:V564" si="255">H554-H525-H448</f>
        <v>742623500</v>
      </c>
      <c r="I564" s="1">
        <f t="shared" si="255"/>
        <v>188731099</v>
      </c>
      <c r="J564" s="1">
        <f t="shared" si="255"/>
        <v>204177177</v>
      </c>
      <c r="K564" s="1">
        <f t="shared" si="255"/>
        <v>113136192</v>
      </c>
      <c r="L564" s="1">
        <f t="shared" si="255"/>
        <v>47018424</v>
      </c>
      <c r="M564" s="1">
        <f t="shared" si="255"/>
        <v>9151478</v>
      </c>
      <c r="N564" s="1">
        <f t="shared" si="255"/>
        <v>6730062</v>
      </c>
      <c r="O564" s="1">
        <f t="shared" si="255"/>
        <v>3640922</v>
      </c>
      <c r="P564" s="1">
        <f t="shared" si="255"/>
        <v>3221814</v>
      </c>
      <c r="Q564" s="1">
        <f t="shared" si="255"/>
        <v>2993998</v>
      </c>
      <c r="R564" s="1">
        <f t="shared" si="255"/>
        <v>200000</v>
      </c>
      <c r="S564" s="1">
        <f t="shared" si="255"/>
        <v>200000</v>
      </c>
      <c r="T564" s="1">
        <f t="shared" si="255"/>
        <v>200000</v>
      </c>
      <c r="U564" s="1">
        <f t="shared" si="255"/>
        <v>200000</v>
      </c>
      <c r="V564" s="1">
        <f t="shared" si="255"/>
        <v>200000</v>
      </c>
      <c r="W564" s="1">
        <f t="shared" ref="W564" si="256">W554-W525</f>
        <v>0</v>
      </c>
    </row>
    <row r="565" spans="1:24">
      <c r="G565" s="55" t="s">
        <v>163</v>
      </c>
      <c r="H565" s="1">
        <f>H554-H525</f>
        <v>754174544</v>
      </c>
      <c r="I565" s="1">
        <f t="shared" ref="I565:V565" si="257">I554-I525</f>
        <v>192509109</v>
      </c>
      <c r="J565" s="1">
        <f t="shared" si="257"/>
        <v>208950858</v>
      </c>
      <c r="K565" s="1">
        <f t="shared" si="257"/>
        <v>114967207</v>
      </c>
      <c r="L565" s="1">
        <f t="shared" si="257"/>
        <v>47238262</v>
      </c>
      <c r="M565" s="1">
        <f t="shared" si="257"/>
        <v>9151478</v>
      </c>
      <c r="N565" s="1">
        <f t="shared" si="257"/>
        <v>6730062</v>
      </c>
      <c r="O565" s="1">
        <f t="shared" si="257"/>
        <v>3640922</v>
      </c>
      <c r="P565" s="1">
        <f t="shared" si="257"/>
        <v>3221814</v>
      </c>
      <c r="Q565" s="1">
        <f t="shared" si="257"/>
        <v>2993998</v>
      </c>
      <c r="R565" s="1">
        <f t="shared" si="257"/>
        <v>200000</v>
      </c>
      <c r="S565" s="1">
        <f t="shared" si="257"/>
        <v>200000</v>
      </c>
      <c r="T565" s="1">
        <f t="shared" si="257"/>
        <v>200000</v>
      </c>
      <c r="U565" s="1">
        <f t="shared" si="257"/>
        <v>200000</v>
      </c>
      <c r="V565" s="1">
        <f t="shared" si="257"/>
        <v>200000</v>
      </c>
      <c r="W565" s="1"/>
    </row>
    <row r="566" spans="1:24">
      <c r="G566" s="55" t="s">
        <v>164</v>
      </c>
      <c r="H566" s="1">
        <f>H525</f>
        <v>102884209</v>
      </c>
      <c r="I566" s="1">
        <f t="shared" ref="I566:V566" si="258">I525</f>
        <v>6178646</v>
      </c>
      <c r="J566" s="1">
        <f t="shared" si="258"/>
        <v>12223471</v>
      </c>
      <c r="K566" s="1">
        <f t="shared" si="258"/>
        <v>10458974</v>
      </c>
      <c r="L566" s="1">
        <f t="shared" si="258"/>
        <v>9112911</v>
      </c>
      <c r="M566" s="1">
        <f t="shared" si="258"/>
        <v>7561980</v>
      </c>
      <c r="N566" s="1">
        <f t="shared" si="258"/>
        <v>4960034</v>
      </c>
      <c r="O566" s="1">
        <f t="shared" si="258"/>
        <v>4956214</v>
      </c>
      <c r="P566" s="1">
        <f t="shared" si="258"/>
        <v>4519898</v>
      </c>
      <c r="Q566" s="1">
        <f t="shared" si="258"/>
        <v>4305543</v>
      </c>
      <c r="R566" s="1">
        <f t="shared" si="258"/>
        <v>4089403</v>
      </c>
      <c r="S566" s="1">
        <f t="shared" si="258"/>
        <v>3355668</v>
      </c>
      <c r="T566" s="1">
        <f t="shared" si="258"/>
        <v>141950</v>
      </c>
      <c r="U566" s="1">
        <f t="shared" si="258"/>
        <v>0</v>
      </c>
      <c r="V566" s="1">
        <f t="shared" si="258"/>
        <v>0</v>
      </c>
      <c r="W566" s="1"/>
    </row>
    <row r="567" spans="1:24">
      <c r="G567" s="55" t="s">
        <v>336</v>
      </c>
      <c r="H567" s="1">
        <f>H556-H566</f>
        <v>269313169</v>
      </c>
      <c r="I567" s="1">
        <f t="shared" ref="I567:W567" si="259">I556-I566</f>
        <v>77650534</v>
      </c>
      <c r="J567" s="1">
        <f t="shared" si="259"/>
        <v>90712526</v>
      </c>
      <c r="K567" s="1">
        <f t="shared" si="259"/>
        <v>19913382</v>
      </c>
      <c r="L567" s="1">
        <f t="shared" si="259"/>
        <v>18624821</v>
      </c>
      <c r="M567" s="1">
        <f t="shared" si="259"/>
        <v>5318978</v>
      </c>
      <c r="N567" s="1">
        <f t="shared" si="259"/>
        <v>6730062</v>
      </c>
      <c r="O567" s="1">
        <f t="shared" si="259"/>
        <v>3640922</v>
      </c>
      <c r="P567" s="1">
        <f t="shared" si="259"/>
        <v>3221814</v>
      </c>
      <c r="Q567" s="1">
        <f t="shared" si="259"/>
        <v>2993998</v>
      </c>
      <c r="R567" s="1">
        <f t="shared" si="259"/>
        <v>200000</v>
      </c>
      <c r="S567" s="1">
        <f t="shared" si="259"/>
        <v>200000</v>
      </c>
      <c r="T567" s="1">
        <f t="shared" si="259"/>
        <v>200000</v>
      </c>
      <c r="U567" s="1">
        <f t="shared" si="259"/>
        <v>200000</v>
      </c>
      <c r="V567" s="1">
        <f t="shared" si="259"/>
        <v>200000</v>
      </c>
      <c r="W567" s="1">
        <f t="shared" si="259"/>
        <v>0</v>
      </c>
    </row>
    <row r="568" spans="1:24"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</row>
    <row r="569" spans="1:24" ht="15">
      <c r="C569" s="104"/>
      <c r="G569" s="75" t="s">
        <v>234</v>
      </c>
      <c r="H569" s="82">
        <f>SUM(H12,H17,H22,H27,H32,H37,H42,H47,H52,H57,H62,H70,H76,H84,H92,H98,H103,H109,H115,H121,H127,H133,H138,H143,H149,H156,H162,H169,H175,H182,H191,H198,H203,H208,H213,H218,H223,H230,H239,H246,H251,H264,H269,H273,H277,H281,H285,H289,H296,H303,H308,H313,H319,H324,H328,H333,H338,H342,H346,H350,H354,H359,H363,H367,H371,H375,H379,H383,H388,H392,H396,H400,H404,H408,H412,H416,H421,H425,H429,H434,H439,H443,H451,H455,H460,H464,H468,H472,H476,H480,H484,H488,H492,H496,H500,H504,H508,H512,H516,H520,H527,H530,H533,H536,H539,H542,H545)</f>
        <v>3135671877</v>
      </c>
      <c r="I569" s="82">
        <f t="shared" ref="I569:W569" si="260">SUM(I12,I17,I22,I27,I32,I37,I42,I47,I52,I57,I62,I70,I76,I84,I92,I98,I103,I109,I115,I121,I127,I133,I138,I143,I149,I156,I162,I169,I175,I182,I191,I198,I203,I208,I213,I218,I223,I230,I239,I246,I251,I264,I269,I273,I277,I281,I285,I289,I296,I303,I308,I313,I319,I324,I328,I333,I338,I342,I346,I350,I354,I359,I363,I367,I371,I375,I379,I383,I388,I392,I396,I400,I404,I408,I412,I416,I421,I425,I429,I434,I439,I443,I451,I455,I460,I464,I468,I472,I476,I480,I484,I488,I492,I496,I500,I504,I508,I512,I516,I520,I527,I530,I533,I536,I539,I542,I545)</f>
        <v>445450248</v>
      </c>
      <c r="J569" s="82">
        <f t="shared" si="260"/>
        <v>1080251348</v>
      </c>
      <c r="K569" s="82">
        <f t="shared" si="260"/>
        <v>829741854</v>
      </c>
      <c r="L569" s="82">
        <f t="shared" si="260"/>
        <v>258654854</v>
      </c>
      <c r="M569" s="82">
        <f t="shared" si="260"/>
        <v>29713458</v>
      </c>
      <c r="N569" s="82">
        <f t="shared" si="260"/>
        <v>24690096</v>
      </c>
      <c r="O569" s="82">
        <f t="shared" si="260"/>
        <v>23597136</v>
      </c>
      <c r="P569" s="82">
        <f t="shared" si="260"/>
        <v>10568311</v>
      </c>
      <c r="Q569" s="82">
        <f t="shared" si="260"/>
        <v>10126140</v>
      </c>
      <c r="R569" s="82">
        <f t="shared" si="260"/>
        <v>4289403</v>
      </c>
      <c r="S569" s="82">
        <f t="shared" si="260"/>
        <v>3555668</v>
      </c>
      <c r="T569" s="82">
        <f t="shared" si="260"/>
        <v>341950</v>
      </c>
      <c r="U569" s="82">
        <f t="shared" si="260"/>
        <v>200000</v>
      </c>
      <c r="V569" s="82">
        <f t="shared" si="260"/>
        <v>200000</v>
      </c>
      <c r="W569" s="82">
        <f t="shared" si="260"/>
        <v>1743295444</v>
      </c>
      <c r="X569" s="82">
        <f>SUM(X37,X42,X52,X57,X62,X70,X76,X84,X92,X98,X103,X109,X115,X121,X127,X133,X138,X143,X162,X169,X175,X182,X191,X198,X203,X208,X218,X230,X239,X246,X264,X269,X289,X296,X303,X308,X313,X319,X350,X354,X359,X363,X367,X371,X375,X383,X388,X396,X400,X404,X408,X416,X421,X425,X429,X443,X451,X455,X468,X472,X476,X480,X484,X488,X492,X496,X500,X504,X508,X512,X516,X527,X530,X533,X536,X539,X542,X273,X277,X285,X156,X213,X342,X392,X412,X434,X439,X464,X520,X545,X223,X149,X47,X251,X281,X324,X346,X379,X460,)</f>
        <v>0</v>
      </c>
    </row>
    <row r="570" spans="1:24" s="55" customFormat="1" ht="15">
      <c r="B570" s="14"/>
      <c r="C570" s="104"/>
      <c r="G570" s="76" t="s">
        <v>237</v>
      </c>
      <c r="H570" s="82">
        <f t="shared" ref="H570:W570" si="261">SUM(H5,H448,H525)</f>
        <v>3135671877</v>
      </c>
      <c r="I570" s="82">
        <f t="shared" si="261"/>
        <v>445450248</v>
      </c>
      <c r="J570" s="82">
        <f t="shared" si="261"/>
        <v>1080251348</v>
      </c>
      <c r="K570" s="82">
        <f t="shared" si="261"/>
        <v>829741854</v>
      </c>
      <c r="L570" s="82">
        <f t="shared" si="261"/>
        <v>258654854</v>
      </c>
      <c r="M570" s="82">
        <f t="shared" si="261"/>
        <v>29713458</v>
      </c>
      <c r="N570" s="82">
        <f t="shared" si="261"/>
        <v>24690096</v>
      </c>
      <c r="O570" s="82">
        <f t="shared" si="261"/>
        <v>23597136</v>
      </c>
      <c r="P570" s="82">
        <f t="shared" si="261"/>
        <v>10568311</v>
      </c>
      <c r="Q570" s="82">
        <f t="shared" si="261"/>
        <v>10126140</v>
      </c>
      <c r="R570" s="82">
        <f t="shared" si="261"/>
        <v>4289403</v>
      </c>
      <c r="S570" s="82">
        <f t="shared" si="261"/>
        <v>3555668</v>
      </c>
      <c r="T570" s="82">
        <f t="shared" si="261"/>
        <v>341950</v>
      </c>
      <c r="U570" s="82">
        <f t="shared" si="261"/>
        <v>200000</v>
      </c>
      <c r="V570" s="82">
        <f t="shared" si="261"/>
        <v>200000</v>
      </c>
      <c r="W570" s="82">
        <f t="shared" si="261"/>
        <v>1743295444</v>
      </c>
    </row>
    <row r="571" spans="1:24">
      <c r="G571" s="55" t="s">
        <v>235</v>
      </c>
      <c r="H571" s="1">
        <f t="shared" ref="H571:V571" si="262">SUM(H10,H258,H262,H449,H526)</f>
        <v>857058753</v>
      </c>
      <c r="I571" s="1">
        <f t="shared" si="262"/>
        <v>198687755</v>
      </c>
      <c r="J571" s="1">
        <f t="shared" si="262"/>
        <v>221174329</v>
      </c>
      <c r="K571" s="1">
        <f t="shared" si="262"/>
        <v>125426181</v>
      </c>
      <c r="L571" s="1">
        <f t="shared" si="262"/>
        <v>56351173</v>
      </c>
      <c r="M571" s="1">
        <f t="shared" si="262"/>
        <v>16713458</v>
      </c>
      <c r="N571" s="1">
        <f t="shared" si="262"/>
        <v>11690096</v>
      </c>
      <c r="O571" s="1">
        <f t="shared" si="262"/>
        <v>8597136</v>
      </c>
      <c r="P571" s="1">
        <f t="shared" si="262"/>
        <v>7741712</v>
      </c>
      <c r="Q571" s="1">
        <f t="shared" si="262"/>
        <v>7299541</v>
      </c>
      <c r="R571" s="1">
        <f t="shared" si="262"/>
        <v>4289403</v>
      </c>
      <c r="S571" s="1">
        <f t="shared" si="262"/>
        <v>3555668</v>
      </c>
      <c r="T571" s="1">
        <f t="shared" si="262"/>
        <v>341950</v>
      </c>
      <c r="U571" s="1">
        <f t="shared" si="262"/>
        <v>200000</v>
      </c>
      <c r="V571" s="1">
        <f t="shared" si="262"/>
        <v>200000</v>
      </c>
      <c r="W571" s="1"/>
    </row>
    <row r="572" spans="1:24">
      <c r="C572" s="104"/>
      <c r="G572" s="55" t="s">
        <v>236</v>
      </c>
      <c r="H572" s="1">
        <f t="shared" ref="H572:V572" si="263">SUM(H11,H259,H263,H450)</f>
        <v>2278613124</v>
      </c>
      <c r="I572" s="1">
        <f t="shared" si="263"/>
        <v>246762493</v>
      </c>
      <c r="J572" s="1">
        <f t="shared" si="263"/>
        <v>859077019</v>
      </c>
      <c r="K572" s="1">
        <f t="shared" si="263"/>
        <v>704315673</v>
      </c>
      <c r="L572" s="1">
        <f t="shared" si="263"/>
        <v>202303681</v>
      </c>
      <c r="M572" s="1">
        <f t="shared" si="263"/>
        <v>13000000</v>
      </c>
      <c r="N572" s="1">
        <f t="shared" si="263"/>
        <v>13000000</v>
      </c>
      <c r="O572" s="1">
        <f t="shared" si="263"/>
        <v>15000000</v>
      </c>
      <c r="P572" s="1">
        <f t="shared" si="263"/>
        <v>2826599</v>
      </c>
      <c r="Q572" s="1">
        <f t="shared" si="263"/>
        <v>2826599</v>
      </c>
      <c r="R572" s="1">
        <f t="shared" si="263"/>
        <v>0</v>
      </c>
      <c r="S572" s="1">
        <f t="shared" si="263"/>
        <v>0</v>
      </c>
      <c r="T572" s="1">
        <f t="shared" si="263"/>
        <v>0</v>
      </c>
      <c r="U572" s="1">
        <f t="shared" si="263"/>
        <v>0</v>
      </c>
      <c r="V572" s="1">
        <f t="shared" si="263"/>
        <v>0</v>
      </c>
      <c r="W572" s="1"/>
    </row>
    <row r="573" spans="1:24"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</row>
    <row r="574" spans="1:24">
      <c r="H574" s="1">
        <f>SUM(H89,H96,H102,H107,H113,H119,H125,H131,H147,H153,H160,H167,H174,H180,H189,H207,H237,H245,H268,H294,H301,H316,H374,H399,H411,H415,H420,H446,H137,H357,H442)</f>
        <v>402896887</v>
      </c>
      <c r="I574" s="1">
        <f t="shared" ref="I574:T574" si="264">I557-I458</f>
        <v>75089531</v>
      </c>
      <c r="J574" s="1">
        <f t="shared" si="264"/>
        <v>73534115</v>
      </c>
      <c r="K574" s="1">
        <f t="shared" si="264"/>
        <v>56567679</v>
      </c>
      <c r="L574" s="1">
        <f t="shared" si="264"/>
        <v>23944041</v>
      </c>
      <c r="M574" s="1">
        <f t="shared" si="264"/>
        <v>0</v>
      </c>
      <c r="N574" s="1">
        <f t="shared" si="264"/>
        <v>0</v>
      </c>
      <c r="O574" s="1">
        <f t="shared" si="264"/>
        <v>0</v>
      </c>
      <c r="P574" s="1">
        <f t="shared" si="264"/>
        <v>0</v>
      </c>
      <c r="Q574" s="1">
        <f t="shared" si="264"/>
        <v>0</v>
      </c>
      <c r="R574" s="1">
        <f t="shared" si="264"/>
        <v>0</v>
      </c>
      <c r="S574" s="1">
        <f t="shared" si="264"/>
        <v>0</v>
      </c>
      <c r="T574" s="1">
        <f t="shared" si="264"/>
        <v>0</v>
      </c>
      <c r="U574" s="1"/>
      <c r="V574" s="1"/>
      <c r="W574" s="1"/>
    </row>
    <row r="575" spans="1:24">
      <c r="H575" s="1">
        <f t="shared" ref="H575:R575" si="265">H556-H566-H518-H514-H510-H506-H502-H498-H494-H490-H486-H482-H478-H474-H470-H457-H453-H466-H522</f>
        <v>260862571</v>
      </c>
      <c r="I575" s="1">
        <f t="shared" si="265"/>
        <v>74656224</v>
      </c>
      <c r="J575" s="1">
        <f t="shared" si="265"/>
        <v>86738895</v>
      </c>
      <c r="K575" s="1">
        <f t="shared" si="265"/>
        <v>18899063</v>
      </c>
      <c r="L575" s="1">
        <f t="shared" si="265"/>
        <v>18404983</v>
      </c>
      <c r="M575" s="1">
        <f t="shared" si="265"/>
        <v>5318978</v>
      </c>
      <c r="N575" s="1">
        <f t="shared" si="265"/>
        <v>6730062</v>
      </c>
      <c r="O575" s="1">
        <f t="shared" si="265"/>
        <v>3640922</v>
      </c>
      <c r="P575" s="1">
        <f t="shared" si="265"/>
        <v>3221814</v>
      </c>
      <c r="Q575" s="1">
        <f t="shared" si="265"/>
        <v>2993998</v>
      </c>
      <c r="R575" s="1">
        <f t="shared" si="265"/>
        <v>200000</v>
      </c>
      <c r="S575" s="1"/>
      <c r="T575" s="1"/>
      <c r="U575" s="1"/>
      <c r="V575" s="1"/>
      <c r="W575" s="1"/>
    </row>
    <row r="576" spans="1:24"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>
        <v>1492931651</v>
      </c>
    </row>
    <row r="577" spans="1:23" hidden="1">
      <c r="A577" s="108"/>
      <c r="B577" s="109"/>
      <c r="C577" s="109"/>
      <c r="D577" s="108"/>
      <c r="E577" s="108"/>
      <c r="F577" s="108"/>
      <c r="G577" s="108"/>
      <c r="H577" s="110"/>
      <c r="I577" s="110"/>
      <c r="J577" s="110"/>
      <c r="K577" s="110"/>
      <c r="L577" s="110"/>
      <c r="M577" s="110"/>
      <c r="N577" s="110"/>
      <c r="O577" s="110"/>
      <c r="P577" s="110"/>
      <c r="Q577" s="110"/>
      <c r="R577" s="110"/>
      <c r="S577" s="110"/>
      <c r="T577" s="110"/>
      <c r="U577" s="110"/>
      <c r="V577" s="110"/>
      <c r="W577" s="110"/>
    </row>
    <row r="578" spans="1:23" hidden="1">
      <c r="A578" s="108" t="s">
        <v>329</v>
      </c>
      <c r="B578" s="109"/>
      <c r="C578" s="109"/>
      <c r="D578" s="108"/>
      <c r="E578" s="108"/>
      <c r="F578" s="108"/>
      <c r="G578" s="108"/>
      <c r="H578" s="110"/>
      <c r="I578" s="110"/>
      <c r="J578" s="110"/>
      <c r="K578" s="110"/>
      <c r="L578" s="110"/>
      <c r="M578" s="110"/>
      <c r="N578" s="110"/>
      <c r="O578" s="110"/>
      <c r="P578" s="110"/>
      <c r="Q578" s="110"/>
      <c r="R578" s="110"/>
      <c r="S578" s="110"/>
      <c r="T578" s="110"/>
      <c r="U578" s="110"/>
      <c r="V578" s="110"/>
      <c r="W578" s="110"/>
    </row>
    <row r="579" spans="1:23" s="41" customFormat="1" ht="15" hidden="1">
      <c r="A579" s="238" t="s">
        <v>2</v>
      </c>
      <c r="B579" s="239"/>
      <c r="C579" s="240"/>
      <c r="D579" s="119"/>
      <c r="E579" s="281"/>
      <c r="F579" s="282"/>
      <c r="G579" s="120"/>
      <c r="H579" s="121">
        <v>3156205073</v>
      </c>
      <c r="I579" s="121">
        <v>509623917</v>
      </c>
      <c r="J579" s="121">
        <v>1127233889</v>
      </c>
      <c r="K579" s="121">
        <v>744559841</v>
      </c>
      <c r="L579" s="121">
        <v>258498086</v>
      </c>
      <c r="M579" s="121">
        <v>27081708</v>
      </c>
      <c r="N579" s="121">
        <v>21558346</v>
      </c>
      <c r="O579" s="121">
        <v>23597136</v>
      </c>
      <c r="P579" s="121">
        <v>10568311</v>
      </c>
      <c r="Q579" s="121">
        <v>10126139</v>
      </c>
      <c r="R579" s="121">
        <v>4289403</v>
      </c>
      <c r="S579" s="121">
        <v>3555668</v>
      </c>
      <c r="T579" s="121">
        <v>341950</v>
      </c>
      <c r="U579" s="121">
        <v>200000</v>
      </c>
      <c r="V579" s="121">
        <v>200000</v>
      </c>
      <c r="W579" s="121">
        <v>1699528665</v>
      </c>
    </row>
    <row r="580" spans="1:23" s="41" customFormat="1" ht="15" hidden="1">
      <c r="A580" s="122"/>
      <c r="B580" s="233" t="s">
        <v>23</v>
      </c>
      <c r="C580" s="234"/>
      <c r="D580" s="119"/>
      <c r="E580" s="123"/>
      <c r="F580" s="124"/>
      <c r="G580" s="120"/>
      <c r="H580" s="121">
        <v>1423045936</v>
      </c>
      <c r="I580" s="121">
        <v>173197594</v>
      </c>
      <c r="J580" s="121">
        <v>624005992</v>
      </c>
      <c r="K580" s="121">
        <v>473778169</v>
      </c>
      <c r="L580" s="121">
        <v>107349198</v>
      </c>
      <c r="M580" s="121">
        <v>0</v>
      </c>
      <c r="N580" s="121">
        <v>0</v>
      </c>
      <c r="O580" s="121">
        <v>0</v>
      </c>
      <c r="P580" s="121">
        <v>0</v>
      </c>
      <c r="Q580" s="121">
        <v>0</v>
      </c>
      <c r="R580" s="121">
        <v>0</v>
      </c>
      <c r="S580" s="121">
        <v>0</v>
      </c>
      <c r="T580" s="121">
        <v>0</v>
      </c>
      <c r="U580" s="121">
        <v>0</v>
      </c>
      <c r="V580" s="121">
        <v>0</v>
      </c>
      <c r="W580" s="121"/>
    </row>
    <row r="581" spans="1:23" s="41" customFormat="1" ht="15" hidden="1">
      <c r="A581" s="125"/>
      <c r="B581" s="233" t="s">
        <v>25</v>
      </c>
      <c r="C581" s="234"/>
      <c r="D581" s="119"/>
      <c r="E581" s="123"/>
      <c r="F581" s="124"/>
      <c r="G581" s="120"/>
      <c r="H581" s="121">
        <v>782920439</v>
      </c>
      <c r="I581" s="121">
        <v>125595228</v>
      </c>
      <c r="J581" s="121">
        <v>211153329</v>
      </c>
      <c r="K581" s="121">
        <v>147210060</v>
      </c>
      <c r="L581" s="121">
        <v>87417570</v>
      </c>
      <c r="M581" s="121">
        <v>23249208</v>
      </c>
      <c r="N581" s="121">
        <v>21558346</v>
      </c>
      <c r="O581" s="121">
        <v>23597136</v>
      </c>
      <c r="P581" s="121">
        <v>10568311</v>
      </c>
      <c r="Q581" s="121">
        <v>10126139</v>
      </c>
      <c r="R581" s="121">
        <v>4289403</v>
      </c>
      <c r="S581" s="121">
        <v>3555668</v>
      </c>
      <c r="T581" s="121">
        <v>341950</v>
      </c>
      <c r="U581" s="121">
        <v>200000</v>
      </c>
      <c r="V581" s="121">
        <v>200000</v>
      </c>
      <c r="W581" s="121"/>
    </row>
    <row r="582" spans="1:23" s="41" customFormat="1" ht="15" hidden="1">
      <c r="A582" s="125"/>
      <c r="B582" s="233" t="s">
        <v>24</v>
      </c>
      <c r="C582" s="234"/>
      <c r="D582" s="119"/>
      <c r="E582" s="123"/>
      <c r="F582" s="124"/>
      <c r="G582" s="120"/>
      <c r="H582" s="121">
        <v>886729154</v>
      </c>
      <c r="I582" s="121">
        <v>195613037</v>
      </c>
      <c r="J582" s="121">
        <v>286633843</v>
      </c>
      <c r="K582" s="121">
        <v>113454736</v>
      </c>
      <c r="L582" s="121">
        <v>52228663</v>
      </c>
      <c r="M582" s="121">
        <v>0</v>
      </c>
      <c r="N582" s="121">
        <v>0</v>
      </c>
      <c r="O582" s="121">
        <v>0</v>
      </c>
      <c r="P582" s="121">
        <v>0</v>
      </c>
      <c r="Q582" s="121">
        <v>0</v>
      </c>
      <c r="R582" s="121">
        <v>0</v>
      </c>
      <c r="S582" s="121">
        <v>0</v>
      </c>
      <c r="T582" s="121">
        <v>0</v>
      </c>
      <c r="U582" s="121">
        <v>0</v>
      </c>
      <c r="V582" s="121">
        <v>0</v>
      </c>
      <c r="W582" s="121"/>
    </row>
    <row r="583" spans="1:23" s="41" customFormat="1" ht="15" hidden="1">
      <c r="A583" s="122"/>
      <c r="B583" s="233" t="s">
        <v>26</v>
      </c>
      <c r="C583" s="234"/>
      <c r="D583" s="119"/>
      <c r="E583" s="123"/>
      <c r="F583" s="124"/>
      <c r="G583" s="120" t="s">
        <v>174</v>
      </c>
      <c r="H583" s="121">
        <v>63509544</v>
      </c>
      <c r="I583" s="121">
        <v>15218058</v>
      </c>
      <c r="J583" s="121">
        <v>5440725</v>
      </c>
      <c r="K583" s="121">
        <v>10116876</v>
      </c>
      <c r="L583" s="121">
        <v>11502655</v>
      </c>
      <c r="M583" s="121">
        <v>3832500</v>
      </c>
      <c r="N583" s="121">
        <v>0</v>
      </c>
      <c r="O583" s="121">
        <v>0</v>
      </c>
      <c r="P583" s="121">
        <v>0</v>
      </c>
      <c r="Q583" s="121">
        <v>0</v>
      </c>
      <c r="R583" s="121">
        <v>0</v>
      </c>
      <c r="S583" s="121">
        <v>0</v>
      </c>
      <c r="T583" s="121">
        <v>0</v>
      </c>
      <c r="U583" s="121">
        <v>0</v>
      </c>
      <c r="V583" s="121">
        <v>0</v>
      </c>
      <c r="W583" s="121"/>
    </row>
    <row r="584" spans="1:23" s="41" customFormat="1" ht="15" hidden="1">
      <c r="A584" s="284" t="s">
        <v>3</v>
      </c>
      <c r="B584" s="285"/>
      <c r="C584" s="286"/>
      <c r="D584" s="119"/>
      <c r="E584" s="287"/>
      <c r="F584" s="288"/>
      <c r="G584" s="120"/>
      <c r="H584" s="121">
        <v>858175186</v>
      </c>
      <c r="I584" s="121">
        <v>202724302</v>
      </c>
      <c r="J584" s="121">
        <v>236700612</v>
      </c>
      <c r="K584" s="121">
        <v>105833664</v>
      </c>
      <c r="L584" s="121">
        <v>57257062</v>
      </c>
      <c r="M584" s="121">
        <v>17081708</v>
      </c>
      <c r="N584" s="121">
        <v>11558346</v>
      </c>
      <c r="O584" s="121">
        <v>8597136</v>
      </c>
      <c r="P584" s="121">
        <v>7741712</v>
      </c>
      <c r="Q584" s="121">
        <v>7299540</v>
      </c>
      <c r="R584" s="121">
        <v>4289403</v>
      </c>
      <c r="S584" s="121">
        <v>3555668</v>
      </c>
      <c r="T584" s="121">
        <v>341950</v>
      </c>
      <c r="U584" s="121">
        <v>200000</v>
      </c>
      <c r="V584" s="121">
        <v>200000</v>
      </c>
      <c r="W584" s="121"/>
    </row>
    <row r="585" spans="1:23" s="41" customFormat="1" ht="15" hidden="1">
      <c r="A585" s="122"/>
      <c r="B585" s="233" t="s">
        <v>23</v>
      </c>
      <c r="C585" s="234"/>
      <c r="D585" s="119"/>
      <c r="E585" s="123"/>
      <c r="F585" s="124"/>
      <c r="G585" s="120"/>
      <c r="H585" s="121">
        <v>126420567</v>
      </c>
      <c r="I585" s="121">
        <v>32476686</v>
      </c>
      <c r="J585" s="121">
        <v>55418607</v>
      </c>
      <c r="K585" s="121">
        <v>20368923</v>
      </c>
      <c r="L585" s="121">
        <v>881900</v>
      </c>
      <c r="M585" s="121">
        <v>0</v>
      </c>
      <c r="N585" s="121">
        <v>0</v>
      </c>
      <c r="O585" s="121">
        <v>0</v>
      </c>
      <c r="P585" s="121">
        <v>0</v>
      </c>
      <c r="Q585" s="121">
        <v>0</v>
      </c>
      <c r="R585" s="121">
        <v>0</v>
      </c>
      <c r="S585" s="121">
        <v>0</v>
      </c>
      <c r="T585" s="121">
        <v>0</v>
      </c>
      <c r="U585" s="121">
        <v>0</v>
      </c>
      <c r="V585" s="121">
        <v>0</v>
      </c>
      <c r="W585" s="121"/>
    </row>
    <row r="586" spans="1:23" s="41" customFormat="1" ht="15" hidden="1">
      <c r="A586" s="125"/>
      <c r="B586" s="233" t="s">
        <v>25</v>
      </c>
      <c r="C586" s="234"/>
      <c r="D586" s="119"/>
      <c r="E586" s="123"/>
      <c r="F586" s="124"/>
      <c r="G586" s="120"/>
      <c r="H586" s="121">
        <v>374211124</v>
      </c>
      <c r="I586" s="121">
        <v>87392088</v>
      </c>
      <c r="J586" s="121">
        <v>100413836</v>
      </c>
      <c r="K586" s="121">
        <v>30740606</v>
      </c>
      <c r="L586" s="121">
        <v>28105982</v>
      </c>
      <c r="M586" s="121">
        <v>13249208</v>
      </c>
      <c r="N586" s="121">
        <v>11558346</v>
      </c>
      <c r="O586" s="121">
        <v>8597136</v>
      </c>
      <c r="P586" s="121">
        <v>7741712</v>
      </c>
      <c r="Q586" s="121">
        <v>7299540</v>
      </c>
      <c r="R586" s="121">
        <v>4289403</v>
      </c>
      <c r="S586" s="121">
        <v>3555668</v>
      </c>
      <c r="T586" s="121">
        <v>341950</v>
      </c>
      <c r="U586" s="121">
        <v>200000</v>
      </c>
      <c r="V586" s="121">
        <v>200000</v>
      </c>
      <c r="W586" s="121"/>
    </row>
    <row r="587" spans="1:23" s="41" customFormat="1" ht="15" hidden="1">
      <c r="A587" s="125"/>
      <c r="B587" s="233" t="s">
        <v>24</v>
      </c>
      <c r="C587" s="234"/>
      <c r="D587" s="119"/>
      <c r="E587" s="123"/>
      <c r="F587" s="124"/>
      <c r="G587" s="120"/>
      <c r="H587" s="121">
        <v>340021498</v>
      </c>
      <c r="I587" s="121">
        <v>75803531</v>
      </c>
      <c r="J587" s="121">
        <v>80598169</v>
      </c>
      <c r="K587" s="121">
        <v>52144135</v>
      </c>
      <c r="L587" s="121">
        <v>24481680</v>
      </c>
      <c r="M587" s="121">
        <v>0</v>
      </c>
      <c r="N587" s="121">
        <v>0</v>
      </c>
      <c r="O587" s="121">
        <v>0</v>
      </c>
      <c r="P587" s="121">
        <v>0</v>
      </c>
      <c r="Q587" s="121">
        <v>0</v>
      </c>
      <c r="R587" s="121">
        <v>0</v>
      </c>
      <c r="S587" s="121">
        <v>0</v>
      </c>
      <c r="T587" s="121">
        <v>0</v>
      </c>
      <c r="U587" s="121">
        <v>0</v>
      </c>
      <c r="V587" s="121">
        <v>0</v>
      </c>
      <c r="W587" s="121"/>
    </row>
    <row r="588" spans="1:23" s="41" customFormat="1" ht="15" hidden="1">
      <c r="A588" s="122"/>
      <c r="B588" s="233" t="s">
        <v>26</v>
      </c>
      <c r="C588" s="234"/>
      <c r="D588" s="119"/>
      <c r="E588" s="123"/>
      <c r="F588" s="124"/>
      <c r="G588" s="120"/>
      <c r="H588" s="121">
        <v>17521997</v>
      </c>
      <c r="I588" s="121">
        <v>7051997</v>
      </c>
      <c r="J588" s="121">
        <v>270000</v>
      </c>
      <c r="K588" s="121">
        <v>2580000</v>
      </c>
      <c r="L588" s="121">
        <v>3787500</v>
      </c>
      <c r="M588" s="121">
        <v>3832500</v>
      </c>
      <c r="N588" s="121">
        <v>0</v>
      </c>
      <c r="O588" s="121">
        <v>0</v>
      </c>
      <c r="P588" s="121">
        <v>0</v>
      </c>
      <c r="Q588" s="121">
        <v>0</v>
      </c>
      <c r="R588" s="121">
        <v>0</v>
      </c>
      <c r="S588" s="121">
        <v>0</v>
      </c>
      <c r="T588" s="121">
        <v>0</v>
      </c>
      <c r="U588" s="121">
        <v>0</v>
      </c>
      <c r="V588" s="121">
        <v>0</v>
      </c>
      <c r="W588" s="121"/>
    </row>
    <row r="589" spans="1:23" s="41" customFormat="1" ht="15" hidden="1">
      <c r="A589" s="284" t="s">
        <v>4</v>
      </c>
      <c r="B589" s="285"/>
      <c r="C589" s="286"/>
      <c r="D589" s="119"/>
      <c r="E589" s="287"/>
      <c r="F589" s="288"/>
      <c r="G589" s="120"/>
      <c r="H589" s="121">
        <v>2298029887</v>
      </c>
      <c r="I589" s="121">
        <v>306899615</v>
      </c>
      <c r="J589" s="121">
        <v>890533277</v>
      </c>
      <c r="K589" s="121">
        <v>638726177</v>
      </c>
      <c r="L589" s="121">
        <v>201241024</v>
      </c>
      <c r="M589" s="121">
        <v>10000000</v>
      </c>
      <c r="N589" s="121">
        <v>10000000</v>
      </c>
      <c r="O589" s="121">
        <v>15000000</v>
      </c>
      <c r="P589" s="121">
        <v>2826599</v>
      </c>
      <c r="Q589" s="121">
        <v>2826599</v>
      </c>
      <c r="R589" s="121">
        <v>0</v>
      </c>
      <c r="S589" s="121">
        <v>0</v>
      </c>
      <c r="T589" s="121">
        <v>0</v>
      </c>
      <c r="U589" s="121">
        <v>0</v>
      </c>
      <c r="V589" s="121">
        <v>0</v>
      </c>
      <c r="W589" s="121"/>
    </row>
    <row r="590" spans="1:23" s="41" customFormat="1" ht="15" hidden="1">
      <c r="A590" s="122"/>
      <c r="B590" s="233" t="s">
        <v>23</v>
      </c>
      <c r="C590" s="234"/>
      <c r="D590" s="119"/>
      <c r="E590" s="123"/>
      <c r="F590" s="124"/>
      <c r="G590" s="120"/>
      <c r="H590" s="121">
        <v>1296625369</v>
      </c>
      <c r="I590" s="121">
        <v>140720908</v>
      </c>
      <c r="J590" s="121">
        <v>568587385</v>
      </c>
      <c r="K590" s="121">
        <v>453409246</v>
      </c>
      <c r="L590" s="121">
        <v>106467298</v>
      </c>
      <c r="M590" s="121">
        <v>0</v>
      </c>
      <c r="N590" s="121">
        <v>0</v>
      </c>
      <c r="O590" s="121">
        <v>0</v>
      </c>
      <c r="P590" s="121">
        <v>0</v>
      </c>
      <c r="Q590" s="121">
        <v>0</v>
      </c>
      <c r="R590" s="121">
        <v>0</v>
      </c>
      <c r="S590" s="121">
        <v>0</v>
      </c>
      <c r="T590" s="121">
        <v>0</v>
      </c>
      <c r="U590" s="121">
        <v>0</v>
      </c>
      <c r="V590" s="121">
        <v>0</v>
      </c>
      <c r="W590" s="121"/>
    </row>
    <row r="591" spans="1:23" s="41" customFormat="1" ht="15" hidden="1">
      <c r="A591" s="125"/>
      <c r="B591" s="233" t="s">
        <v>25</v>
      </c>
      <c r="C591" s="234"/>
      <c r="D591" s="119"/>
      <c r="E591" s="123"/>
      <c r="F591" s="124"/>
      <c r="G591" s="120"/>
      <c r="H591" s="121">
        <v>408709315</v>
      </c>
      <c r="I591" s="121">
        <v>38203140</v>
      </c>
      <c r="J591" s="121">
        <v>110739493</v>
      </c>
      <c r="K591" s="121">
        <v>116469454</v>
      </c>
      <c r="L591" s="121">
        <v>59311588</v>
      </c>
      <c r="M591" s="121">
        <v>10000000</v>
      </c>
      <c r="N591" s="121">
        <v>10000000</v>
      </c>
      <c r="O591" s="121">
        <v>15000000</v>
      </c>
      <c r="P591" s="121">
        <v>2826599</v>
      </c>
      <c r="Q591" s="121">
        <v>2826599</v>
      </c>
      <c r="R591" s="121">
        <v>0</v>
      </c>
      <c r="S591" s="121">
        <v>0</v>
      </c>
      <c r="T591" s="121">
        <v>0</v>
      </c>
      <c r="U591" s="121">
        <v>0</v>
      </c>
      <c r="V591" s="121">
        <v>0</v>
      </c>
      <c r="W591" s="121"/>
    </row>
    <row r="592" spans="1:23" s="41" customFormat="1" ht="15" hidden="1">
      <c r="A592" s="125"/>
      <c r="B592" s="233" t="s">
        <v>24</v>
      </c>
      <c r="C592" s="234"/>
      <c r="D592" s="119"/>
      <c r="E592" s="123"/>
      <c r="F592" s="124"/>
      <c r="G592" s="120"/>
      <c r="H592" s="121">
        <v>546707656</v>
      </c>
      <c r="I592" s="121">
        <v>119809506</v>
      </c>
      <c r="J592" s="121">
        <v>206035674</v>
      </c>
      <c r="K592" s="121">
        <v>61310601</v>
      </c>
      <c r="L592" s="121">
        <v>27746983</v>
      </c>
      <c r="M592" s="121">
        <v>0</v>
      </c>
      <c r="N592" s="121">
        <v>0</v>
      </c>
      <c r="O592" s="121">
        <v>0</v>
      </c>
      <c r="P592" s="121">
        <v>0</v>
      </c>
      <c r="Q592" s="121">
        <v>0</v>
      </c>
      <c r="R592" s="121">
        <v>0</v>
      </c>
      <c r="S592" s="121">
        <v>0</v>
      </c>
      <c r="T592" s="121">
        <v>0</v>
      </c>
      <c r="U592" s="121">
        <v>0</v>
      </c>
      <c r="V592" s="121">
        <v>0</v>
      </c>
      <c r="W592" s="121"/>
    </row>
    <row r="593" spans="1:23" s="41" customFormat="1" ht="13.5" hidden="1" customHeight="1">
      <c r="A593" s="122"/>
      <c r="B593" s="233" t="s">
        <v>26</v>
      </c>
      <c r="C593" s="234"/>
      <c r="D593" s="119"/>
      <c r="E593" s="123"/>
      <c r="F593" s="124"/>
      <c r="G593" s="120"/>
      <c r="H593" s="121">
        <v>45987547</v>
      </c>
      <c r="I593" s="121">
        <v>8166061</v>
      </c>
      <c r="J593" s="121">
        <v>5170725</v>
      </c>
      <c r="K593" s="121">
        <v>7536876</v>
      </c>
      <c r="L593" s="121">
        <v>7715155</v>
      </c>
      <c r="M593" s="121">
        <v>0</v>
      </c>
      <c r="N593" s="121">
        <v>0</v>
      </c>
      <c r="O593" s="121">
        <v>0</v>
      </c>
      <c r="P593" s="121">
        <v>0</v>
      </c>
      <c r="Q593" s="121">
        <v>0</v>
      </c>
      <c r="R593" s="121">
        <v>0</v>
      </c>
      <c r="S593" s="121">
        <v>0</v>
      </c>
      <c r="T593" s="121">
        <v>0</v>
      </c>
      <c r="U593" s="121">
        <v>0</v>
      </c>
      <c r="V593" s="121">
        <v>0</v>
      </c>
      <c r="W593" s="121"/>
    </row>
    <row r="594" spans="1:23">
      <c r="A594" s="108"/>
      <c r="B594" s="109"/>
      <c r="C594" s="109"/>
      <c r="D594" s="108"/>
      <c r="E594" s="108"/>
      <c r="F594" s="108"/>
      <c r="G594" s="108"/>
      <c r="H594" s="110"/>
      <c r="I594" s="110"/>
      <c r="J594" s="110"/>
      <c r="K594" s="110"/>
      <c r="L594" s="110"/>
      <c r="M594" s="110"/>
      <c r="N594" s="110"/>
      <c r="O594" s="110"/>
      <c r="P594" s="110"/>
      <c r="Q594" s="110"/>
      <c r="R594" s="110"/>
      <c r="S594" s="110"/>
      <c r="T594" s="110"/>
      <c r="U594" s="110"/>
      <c r="V594" s="110"/>
      <c r="W594" s="110"/>
    </row>
    <row r="595" spans="1:23">
      <c r="A595" s="108" t="s">
        <v>330</v>
      </c>
      <c r="B595" s="109"/>
      <c r="C595" s="109"/>
      <c r="D595" s="108"/>
      <c r="E595" s="108"/>
      <c r="F595" s="108"/>
      <c r="G595" s="108"/>
      <c r="H595" s="110"/>
      <c r="I595" s="110"/>
      <c r="J595" s="110"/>
      <c r="K595" s="110"/>
      <c r="L595" s="110"/>
      <c r="M595" s="110"/>
      <c r="N595" s="110"/>
      <c r="O595" s="110"/>
      <c r="P595" s="110"/>
      <c r="Q595" s="110"/>
      <c r="R595" s="110"/>
      <c r="S595" s="110"/>
      <c r="T595" s="110"/>
      <c r="U595" s="110"/>
      <c r="V595" s="110"/>
      <c r="W595" s="110"/>
    </row>
    <row r="596" spans="1:23" s="41" customFormat="1" ht="15">
      <c r="A596" s="238" t="s">
        <v>2</v>
      </c>
      <c r="B596" s="239"/>
      <c r="C596" s="240"/>
      <c r="D596" s="119"/>
      <c r="E596" s="281"/>
      <c r="F596" s="282"/>
      <c r="G596" s="120"/>
      <c r="H596" s="121">
        <f>SUM(H601,H606)</f>
        <v>-20533196</v>
      </c>
      <c r="I596" s="121">
        <f t="shared" ref="I596:V596" si="266">SUM(I601,I606)</f>
        <v>-64173669</v>
      </c>
      <c r="J596" s="121">
        <f t="shared" si="266"/>
        <v>-46982541</v>
      </c>
      <c r="K596" s="121">
        <f t="shared" si="266"/>
        <v>85182013</v>
      </c>
      <c r="L596" s="121">
        <f t="shared" si="266"/>
        <v>156768</v>
      </c>
      <c r="M596" s="121">
        <f t="shared" si="266"/>
        <v>2631750</v>
      </c>
      <c r="N596" s="121">
        <f t="shared" si="266"/>
        <v>3131750</v>
      </c>
      <c r="O596" s="121">
        <f t="shared" si="266"/>
        <v>0</v>
      </c>
      <c r="P596" s="121">
        <f t="shared" si="266"/>
        <v>0</v>
      </c>
      <c r="Q596" s="121">
        <f t="shared" si="266"/>
        <v>1</v>
      </c>
      <c r="R596" s="121">
        <f t="shared" si="266"/>
        <v>0</v>
      </c>
      <c r="S596" s="121">
        <f t="shared" si="266"/>
        <v>0</v>
      </c>
      <c r="T596" s="121">
        <f t="shared" si="266"/>
        <v>0</v>
      </c>
      <c r="U596" s="121">
        <f t="shared" si="266"/>
        <v>0</v>
      </c>
      <c r="V596" s="121">
        <f t="shared" si="266"/>
        <v>0</v>
      </c>
      <c r="W596" s="121">
        <f>SUM(W549-W579)</f>
        <v>43766779</v>
      </c>
    </row>
    <row r="597" spans="1:23" s="41" customFormat="1" ht="15">
      <c r="A597" s="122"/>
      <c r="B597" s="233" t="s">
        <v>23</v>
      </c>
      <c r="C597" s="234"/>
      <c r="D597" s="119"/>
      <c r="E597" s="123"/>
      <c r="F597" s="124"/>
      <c r="G597" s="120"/>
      <c r="H597" s="121">
        <f>SUM(H602,H607)</f>
        <v>-2257962</v>
      </c>
      <c r="I597" s="121">
        <f t="shared" ref="I597:V597" si="267">SUM(I602,I607)</f>
        <v>-43327917</v>
      </c>
      <c r="J597" s="121">
        <f t="shared" si="267"/>
        <v>35900993</v>
      </c>
      <c r="K597" s="121">
        <f t="shared" si="267"/>
        <v>19847186</v>
      </c>
      <c r="L597" s="121">
        <f t="shared" si="267"/>
        <v>-14397164</v>
      </c>
      <c r="M597" s="121">
        <f t="shared" si="267"/>
        <v>0</v>
      </c>
      <c r="N597" s="121">
        <f t="shared" si="267"/>
        <v>0</v>
      </c>
      <c r="O597" s="121">
        <f t="shared" si="267"/>
        <v>0</v>
      </c>
      <c r="P597" s="121">
        <f t="shared" si="267"/>
        <v>0</v>
      </c>
      <c r="Q597" s="121">
        <f t="shared" si="267"/>
        <v>0</v>
      </c>
      <c r="R597" s="121">
        <f t="shared" si="267"/>
        <v>0</v>
      </c>
      <c r="S597" s="121">
        <f t="shared" si="267"/>
        <v>0</v>
      </c>
      <c r="T597" s="121">
        <f t="shared" si="267"/>
        <v>0</v>
      </c>
      <c r="U597" s="121">
        <f t="shared" si="267"/>
        <v>0</v>
      </c>
      <c r="V597" s="121">
        <f t="shared" si="267"/>
        <v>0</v>
      </c>
      <c r="W597" s="121"/>
    </row>
    <row r="598" spans="1:23" s="41" customFormat="1" ht="15">
      <c r="A598" s="125"/>
      <c r="B598" s="233" t="s">
        <v>25</v>
      </c>
      <c r="C598" s="234"/>
      <c r="D598" s="119"/>
      <c r="E598" s="123"/>
      <c r="F598" s="124"/>
      <c r="G598" s="120"/>
      <c r="H598" s="121">
        <f t="shared" ref="H598" si="268">SUM(H603,H608)</f>
        <v>-3978960</v>
      </c>
      <c r="I598" s="121">
        <f t="shared" ref="I598:V598" si="269">SUM(I603,I608)</f>
        <v>-14631059</v>
      </c>
      <c r="J598" s="121">
        <f t="shared" si="269"/>
        <v>2910129</v>
      </c>
      <c r="K598" s="121">
        <f t="shared" si="269"/>
        <v>6868782</v>
      </c>
      <c r="L598" s="121">
        <f t="shared" si="269"/>
        <v>1290392</v>
      </c>
      <c r="M598" s="121">
        <f t="shared" si="269"/>
        <v>-368250</v>
      </c>
      <c r="N598" s="121">
        <f t="shared" si="269"/>
        <v>131750</v>
      </c>
      <c r="O598" s="121">
        <f t="shared" si="269"/>
        <v>0</v>
      </c>
      <c r="P598" s="121">
        <f t="shared" si="269"/>
        <v>0</v>
      </c>
      <c r="Q598" s="121">
        <f t="shared" si="269"/>
        <v>1</v>
      </c>
      <c r="R598" s="121">
        <f t="shared" si="269"/>
        <v>0</v>
      </c>
      <c r="S598" s="121">
        <f t="shared" si="269"/>
        <v>0</v>
      </c>
      <c r="T598" s="121">
        <f t="shared" si="269"/>
        <v>0</v>
      </c>
      <c r="U598" s="121">
        <f t="shared" si="269"/>
        <v>0</v>
      </c>
      <c r="V598" s="121">
        <f t="shared" si="269"/>
        <v>0</v>
      </c>
      <c r="W598" s="121"/>
    </row>
    <row r="599" spans="1:23" s="41" customFormat="1" ht="15">
      <c r="A599" s="125"/>
      <c r="B599" s="233" t="s">
        <v>24</v>
      </c>
      <c r="C599" s="234"/>
      <c r="D599" s="119"/>
      <c r="E599" s="123"/>
      <c r="F599" s="124"/>
      <c r="G599" s="120"/>
      <c r="H599" s="121">
        <f t="shared" ref="H599" si="270">SUM(H604,H609)</f>
        <v>-16634277</v>
      </c>
      <c r="I599" s="121">
        <f t="shared" ref="I599:V599" si="271">SUM(I604,I609)</f>
        <v>-552696</v>
      </c>
      <c r="J599" s="121">
        <f t="shared" si="271"/>
        <v>-85793663</v>
      </c>
      <c r="K599" s="121">
        <f t="shared" si="271"/>
        <v>58466045</v>
      </c>
      <c r="L599" s="121">
        <f t="shared" si="271"/>
        <v>11263540</v>
      </c>
      <c r="M599" s="121">
        <f t="shared" si="271"/>
        <v>0</v>
      </c>
      <c r="N599" s="121">
        <f t="shared" si="271"/>
        <v>0</v>
      </c>
      <c r="O599" s="121">
        <f t="shared" si="271"/>
        <v>0</v>
      </c>
      <c r="P599" s="121">
        <f t="shared" si="271"/>
        <v>0</v>
      </c>
      <c r="Q599" s="121">
        <f t="shared" si="271"/>
        <v>0</v>
      </c>
      <c r="R599" s="121">
        <f t="shared" si="271"/>
        <v>0</v>
      </c>
      <c r="S599" s="121">
        <f t="shared" si="271"/>
        <v>0</v>
      </c>
      <c r="T599" s="121">
        <f t="shared" si="271"/>
        <v>0</v>
      </c>
      <c r="U599" s="121">
        <f t="shared" si="271"/>
        <v>0</v>
      </c>
      <c r="V599" s="121">
        <f t="shared" si="271"/>
        <v>0</v>
      </c>
      <c r="W599" s="121"/>
    </row>
    <row r="600" spans="1:23" s="41" customFormat="1" ht="15">
      <c r="A600" s="122"/>
      <c r="B600" s="233" t="s">
        <v>26</v>
      </c>
      <c r="C600" s="234"/>
      <c r="D600" s="119"/>
      <c r="E600" s="123"/>
      <c r="F600" s="124"/>
      <c r="G600" s="120" t="s">
        <v>174</v>
      </c>
      <c r="H600" s="121">
        <f t="shared" ref="H600" si="272">SUM(H605,H610)</f>
        <v>2338003</v>
      </c>
      <c r="I600" s="121">
        <f t="shared" ref="I600:V600" si="273">SUM(I605,I610)</f>
        <v>-5661997</v>
      </c>
      <c r="J600" s="121">
        <f t="shared" si="273"/>
        <v>0</v>
      </c>
      <c r="K600" s="121">
        <f t="shared" si="273"/>
        <v>0</v>
      </c>
      <c r="L600" s="121">
        <f t="shared" si="273"/>
        <v>2000000</v>
      </c>
      <c r="M600" s="121">
        <f t="shared" si="273"/>
        <v>3000000</v>
      </c>
      <c r="N600" s="121">
        <f t="shared" si="273"/>
        <v>3000000</v>
      </c>
      <c r="O600" s="121">
        <f t="shared" si="273"/>
        <v>0</v>
      </c>
      <c r="P600" s="121">
        <f t="shared" si="273"/>
        <v>0</v>
      </c>
      <c r="Q600" s="121">
        <f t="shared" si="273"/>
        <v>0</v>
      </c>
      <c r="R600" s="121">
        <f t="shared" si="273"/>
        <v>0</v>
      </c>
      <c r="S600" s="121">
        <f t="shared" si="273"/>
        <v>0</v>
      </c>
      <c r="T600" s="121">
        <f t="shared" si="273"/>
        <v>0</v>
      </c>
      <c r="U600" s="121">
        <f t="shared" si="273"/>
        <v>0</v>
      </c>
      <c r="V600" s="121">
        <f t="shared" si="273"/>
        <v>0</v>
      </c>
      <c r="W600" s="121"/>
    </row>
    <row r="601" spans="1:23" s="41" customFormat="1" ht="15">
      <c r="A601" s="284" t="s">
        <v>3</v>
      </c>
      <c r="B601" s="285"/>
      <c r="C601" s="286"/>
      <c r="D601" s="119"/>
      <c r="E601" s="287"/>
      <c r="F601" s="288"/>
      <c r="G601" s="120"/>
      <c r="H601" s="121">
        <f>SUM(H602:H605)</f>
        <v>-1116433</v>
      </c>
      <c r="I601" s="121">
        <f t="shared" ref="I601:V601" si="274">SUM(I602:I605)</f>
        <v>-4036547</v>
      </c>
      <c r="J601" s="121">
        <f t="shared" si="274"/>
        <v>-15526283</v>
      </c>
      <c r="K601" s="121">
        <f t="shared" si="274"/>
        <v>19592517</v>
      </c>
      <c r="L601" s="121">
        <f t="shared" si="274"/>
        <v>-905889</v>
      </c>
      <c r="M601" s="121">
        <f t="shared" si="274"/>
        <v>-368250</v>
      </c>
      <c r="N601" s="121">
        <f t="shared" si="274"/>
        <v>131750</v>
      </c>
      <c r="O601" s="121">
        <f t="shared" si="274"/>
        <v>0</v>
      </c>
      <c r="P601" s="121">
        <f t="shared" si="274"/>
        <v>0</v>
      </c>
      <c r="Q601" s="121">
        <f t="shared" si="274"/>
        <v>1</v>
      </c>
      <c r="R601" s="121">
        <f t="shared" si="274"/>
        <v>0</v>
      </c>
      <c r="S601" s="121">
        <f t="shared" si="274"/>
        <v>0</v>
      </c>
      <c r="T601" s="121">
        <f t="shared" si="274"/>
        <v>0</v>
      </c>
      <c r="U601" s="121">
        <f t="shared" si="274"/>
        <v>0</v>
      </c>
      <c r="V601" s="121">
        <f t="shared" si="274"/>
        <v>0</v>
      </c>
      <c r="W601" s="121"/>
    </row>
    <row r="602" spans="1:23" s="41" customFormat="1" ht="15">
      <c r="A602" s="122"/>
      <c r="B602" s="233" t="s">
        <v>23</v>
      </c>
      <c r="C602" s="234"/>
      <c r="D602" s="119"/>
      <c r="E602" s="123"/>
      <c r="F602" s="124"/>
      <c r="G602" s="120"/>
      <c r="H602" s="121">
        <f>SUM(H555-H585)</f>
        <v>2270065</v>
      </c>
      <c r="I602" s="121">
        <f t="shared" ref="I602:V602" si="275">SUM(I555-I585)</f>
        <v>-811642</v>
      </c>
      <c r="J602" s="121">
        <f t="shared" si="275"/>
        <v>-11712670</v>
      </c>
      <c r="K602" s="121">
        <f t="shared" si="275"/>
        <v>14794377</v>
      </c>
      <c r="L602" s="121">
        <f t="shared" si="275"/>
        <v>0</v>
      </c>
      <c r="M602" s="121">
        <f t="shared" si="275"/>
        <v>0</v>
      </c>
      <c r="N602" s="121">
        <f t="shared" si="275"/>
        <v>0</v>
      </c>
      <c r="O602" s="121">
        <f t="shared" si="275"/>
        <v>0</v>
      </c>
      <c r="P602" s="121">
        <f t="shared" si="275"/>
        <v>0</v>
      </c>
      <c r="Q602" s="121">
        <f t="shared" si="275"/>
        <v>0</v>
      </c>
      <c r="R602" s="121">
        <f t="shared" si="275"/>
        <v>0</v>
      </c>
      <c r="S602" s="121">
        <f t="shared" si="275"/>
        <v>0</v>
      </c>
      <c r="T602" s="121">
        <f t="shared" si="275"/>
        <v>0</v>
      </c>
      <c r="U602" s="121">
        <f t="shared" si="275"/>
        <v>0</v>
      </c>
      <c r="V602" s="121">
        <f t="shared" si="275"/>
        <v>0</v>
      </c>
      <c r="W602" s="121"/>
    </row>
    <row r="603" spans="1:23" s="41" customFormat="1" ht="15">
      <c r="A603" s="125"/>
      <c r="B603" s="233" t="s">
        <v>25</v>
      </c>
      <c r="C603" s="234"/>
      <c r="D603" s="119"/>
      <c r="E603" s="123"/>
      <c r="F603" s="124"/>
      <c r="G603" s="120"/>
      <c r="H603" s="121">
        <f t="shared" ref="H603:V605" si="276">SUM(H556-H586)</f>
        <v>-2013746</v>
      </c>
      <c r="I603" s="121">
        <f t="shared" si="276"/>
        <v>-3562908</v>
      </c>
      <c r="J603" s="121">
        <f t="shared" si="276"/>
        <v>2522161</v>
      </c>
      <c r="K603" s="121">
        <f t="shared" si="276"/>
        <v>-368250</v>
      </c>
      <c r="L603" s="121">
        <f t="shared" si="276"/>
        <v>-368250</v>
      </c>
      <c r="M603" s="121">
        <f t="shared" si="276"/>
        <v>-368250</v>
      </c>
      <c r="N603" s="121">
        <f t="shared" si="276"/>
        <v>131750</v>
      </c>
      <c r="O603" s="121">
        <f t="shared" si="276"/>
        <v>0</v>
      </c>
      <c r="P603" s="121">
        <f t="shared" si="276"/>
        <v>0</v>
      </c>
      <c r="Q603" s="121">
        <f t="shared" si="276"/>
        <v>1</v>
      </c>
      <c r="R603" s="121">
        <f t="shared" si="276"/>
        <v>0</v>
      </c>
      <c r="S603" s="121">
        <f t="shared" si="276"/>
        <v>0</v>
      </c>
      <c r="T603" s="121">
        <f t="shared" si="276"/>
        <v>0</v>
      </c>
      <c r="U603" s="121">
        <f t="shared" si="276"/>
        <v>0</v>
      </c>
      <c r="V603" s="121">
        <f t="shared" si="276"/>
        <v>0</v>
      </c>
      <c r="W603" s="121"/>
    </row>
    <row r="604" spans="1:23" s="41" customFormat="1" ht="15">
      <c r="A604" s="125"/>
      <c r="B604" s="233" t="s">
        <v>24</v>
      </c>
      <c r="C604" s="234"/>
      <c r="D604" s="119"/>
      <c r="E604" s="123"/>
      <c r="F604" s="124"/>
      <c r="G604" s="120"/>
      <c r="H604" s="121">
        <f t="shared" si="276"/>
        <v>-1710755</v>
      </c>
      <c r="I604" s="121">
        <f t="shared" si="276"/>
        <v>0</v>
      </c>
      <c r="J604" s="121">
        <f t="shared" si="276"/>
        <v>-6335774</v>
      </c>
      <c r="K604" s="121">
        <f t="shared" si="276"/>
        <v>5166390</v>
      </c>
      <c r="L604" s="121">
        <f t="shared" si="276"/>
        <v>-537639</v>
      </c>
      <c r="M604" s="121">
        <f t="shared" si="276"/>
        <v>0</v>
      </c>
      <c r="N604" s="121">
        <f t="shared" si="276"/>
        <v>0</v>
      </c>
      <c r="O604" s="121">
        <f t="shared" si="276"/>
        <v>0</v>
      </c>
      <c r="P604" s="121">
        <f t="shared" si="276"/>
        <v>0</v>
      </c>
      <c r="Q604" s="121">
        <f t="shared" si="276"/>
        <v>0</v>
      </c>
      <c r="R604" s="121">
        <f t="shared" si="276"/>
        <v>0</v>
      </c>
      <c r="S604" s="121">
        <f t="shared" si="276"/>
        <v>0</v>
      </c>
      <c r="T604" s="121">
        <f t="shared" si="276"/>
        <v>0</v>
      </c>
      <c r="U604" s="121">
        <f t="shared" si="276"/>
        <v>0</v>
      </c>
      <c r="V604" s="121">
        <f t="shared" si="276"/>
        <v>0</v>
      </c>
      <c r="W604" s="121"/>
    </row>
    <row r="605" spans="1:23" s="41" customFormat="1" ht="15">
      <c r="A605" s="122"/>
      <c r="B605" s="233" t="s">
        <v>26</v>
      </c>
      <c r="C605" s="234"/>
      <c r="D605" s="119"/>
      <c r="E605" s="123"/>
      <c r="F605" s="124"/>
      <c r="G605" s="120"/>
      <c r="H605" s="121">
        <f t="shared" si="276"/>
        <v>338003</v>
      </c>
      <c r="I605" s="121">
        <f t="shared" si="276"/>
        <v>338003</v>
      </c>
      <c r="J605" s="121">
        <f t="shared" si="276"/>
        <v>0</v>
      </c>
      <c r="K605" s="121">
        <f t="shared" si="276"/>
        <v>0</v>
      </c>
      <c r="L605" s="121">
        <f t="shared" si="276"/>
        <v>0</v>
      </c>
      <c r="M605" s="121">
        <f t="shared" si="276"/>
        <v>0</v>
      </c>
      <c r="N605" s="121">
        <f t="shared" si="276"/>
        <v>0</v>
      </c>
      <c r="O605" s="121">
        <f t="shared" si="276"/>
        <v>0</v>
      </c>
      <c r="P605" s="121">
        <f t="shared" si="276"/>
        <v>0</v>
      </c>
      <c r="Q605" s="121">
        <f t="shared" si="276"/>
        <v>0</v>
      </c>
      <c r="R605" s="121">
        <f t="shared" si="276"/>
        <v>0</v>
      </c>
      <c r="S605" s="121">
        <f t="shared" si="276"/>
        <v>0</v>
      </c>
      <c r="T605" s="121">
        <f t="shared" si="276"/>
        <v>0</v>
      </c>
      <c r="U605" s="121">
        <f t="shared" si="276"/>
        <v>0</v>
      </c>
      <c r="V605" s="121">
        <f t="shared" si="276"/>
        <v>0</v>
      </c>
      <c r="W605" s="121"/>
    </row>
    <row r="606" spans="1:23" s="41" customFormat="1" ht="15">
      <c r="A606" s="284" t="s">
        <v>4</v>
      </c>
      <c r="B606" s="285"/>
      <c r="C606" s="286"/>
      <c r="D606" s="119"/>
      <c r="E606" s="287"/>
      <c r="F606" s="288"/>
      <c r="G606" s="120"/>
      <c r="H606" s="121">
        <f t="shared" ref="H606" si="277">SUM(H607:H610)</f>
        <v>-19416763</v>
      </c>
      <c r="I606" s="121">
        <f t="shared" ref="I606:V606" si="278">SUM(I607:I610)</f>
        <v>-60137122</v>
      </c>
      <c r="J606" s="121">
        <f t="shared" si="278"/>
        <v>-31456258</v>
      </c>
      <c r="K606" s="121">
        <f t="shared" si="278"/>
        <v>65589496</v>
      </c>
      <c r="L606" s="121">
        <f t="shared" si="278"/>
        <v>1062657</v>
      </c>
      <c r="M606" s="121">
        <f t="shared" si="278"/>
        <v>3000000</v>
      </c>
      <c r="N606" s="121">
        <f t="shared" si="278"/>
        <v>3000000</v>
      </c>
      <c r="O606" s="121">
        <f t="shared" si="278"/>
        <v>0</v>
      </c>
      <c r="P606" s="121">
        <f t="shared" si="278"/>
        <v>0</v>
      </c>
      <c r="Q606" s="121">
        <f t="shared" si="278"/>
        <v>0</v>
      </c>
      <c r="R606" s="121">
        <f t="shared" si="278"/>
        <v>0</v>
      </c>
      <c r="S606" s="121">
        <f t="shared" si="278"/>
        <v>0</v>
      </c>
      <c r="T606" s="121">
        <f t="shared" si="278"/>
        <v>0</v>
      </c>
      <c r="U606" s="121">
        <f t="shared" si="278"/>
        <v>0</v>
      </c>
      <c r="V606" s="121">
        <f t="shared" si="278"/>
        <v>0</v>
      </c>
      <c r="W606" s="121"/>
    </row>
    <row r="607" spans="1:23" s="41" customFormat="1" ht="15">
      <c r="A607" s="122"/>
      <c r="B607" s="233" t="s">
        <v>23</v>
      </c>
      <c r="C607" s="234"/>
      <c r="D607" s="119"/>
      <c r="E607" s="123"/>
      <c r="F607" s="124"/>
      <c r="G607" s="120"/>
      <c r="H607" s="121">
        <f>SUM(H560-H590)</f>
        <v>-4528027</v>
      </c>
      <c r="I607" s="121">
        <f t="shared" ref="I607:V607" si="279">SUM(I560-I590)</f>
        <v>-42516275</v>
      </c>
      <c r="J607" s="121">
        <f t="shared" si="279"/>
        <v>47613663</v>
      </c>
      <c r="K607" s="121">
        <f t="shared" si="279"/>
        <v>5052809</v>
      </c>
      <c r="L607" s="121">
        <f t="shared" si="279"/>
        <v>-14397164</v>
      </c>
      <c r="M607" s="121">
        <f t="shared" si="279"/>
        <v>0</v>
      </c>
      <c r="N607" s="121">
        <f t="shared" si="279"/>
        <v>0</v>
      </c>
      <c r="O607" s="121">
        <f t="shared" si="279"/>
        <v>0</v>
      </c>
      <c r="P607" s="121">
        <f t="shared" si="279"/>
        <v>0</v>
      </c>
      <c r="Q607" s="121">
        <f t="shared" si="279"/>
        <v>0</v>
      </c>
      <c r="R607" s="121">
        <f t="shared" si="279"/>
        <v>0</v>
      </c>
      <c r="S607" s="121">
        <f t="shared" si="279"/>
        <v>0</v>
      </c>
      <c r="T607" s="121">
        <f t="shared" si="279"/>
        <v>0</v>
      </c>
      <c r="U607" s="121">
        <f t="shared" si="279"/>
        <v>0</v>
      </c>
      <c r="V607" s="121">
        <f t="shared" si="279"/>
        <v>0</v>
      </c>
      <c r="W607" s="121"/>
    </row>
    <row r="608" spans="1:23" s="41" customFormat="1" ht="15">
      <c r="A608" s="125"/>
      <c r="B608" s="233" t="s">
        <v>25</v>
      </c>
      <c r="C608" s="234"/>
      <c r="D608" s="119"/>
      <c r="E608" s="123"/>
      <c r="F608" s="124"/>
      <c r="G608" s="120"/>
      <c r="H608" s="121">
        <f t="shared" ref="H608:V610" si="280">SUM(H561-H591)</f>
        <v>-1965214</v>
      </c>
      <c r="I608" s="121">
        <f t="shared" si="280"/>
        <v>-11068151</v>
      </c>
      <c r="J608" s="121">
        <f t="shared" si="280"/>
        <v>387968</v>
      </c>
      <c r="K608" s="121">
        <f t="shared" si="280"/>
        <v>7237032</v>
      </c>
      <c r="L608" s="121">
        <f t="shared" si="280"/>
        <v>1658642</v>
      </c>
      <c r="M608" s="121">
        <f t="shared" si="280"/>
        <v>0</v>
      </c>
      <c r="N608" s="121">
        <f t="shared" si="280"/>
        <v>0</v>
      </c>
      <c r="O608" s="121">
        <f t="shared" si="280"/>
        <v>0</v>
      </c>
      <c r="P608" s="121">
        <f t="shared" si="280"/>
        <v>0</v>
      </c>
      <c r="Q608" s="121">
        <f t="shared" si="280"/>
        <v>0</v>
      </c>
      <c r="R608" s="121">
        <f t="shared" si="280"/>
        <v>0</v>
      </c>
      <c r="S608" s="121">
        <f t="shared" si="280"/>
        <v>0</v>
      </c>
      <c r="T608" s="121">
        <f t="shared" si="280"/>
        <v>0</v>
      </c>
      <c r="U608" s="121">
        <f t="shared" si="280"/>
        <v>0</v>
      </c>
      <c r="V608" s="121">
        <f t="shared" si="280"/>
        <v>0</v>
      </c>
      <c r="W608" s="121"/>
    </row>
    <row r="609" spans="1:23" s="41" customFormat="1" ht="15">
      <c r="A609" s="125"/>
      <c r="B609" s="233" t="s">
        <v>24</v>
      </c>
      <c r="C609" s="234"/>
      <c r="D609" s="119"/>
      <c r="E609" s="123"/>
      <c r="F609" s="124"/>
      <c r="G609" s="120"/>
      <c r="H609" s="121">
        <f t="shared" si="280"/>
        <v>-14923522</v>
      </c>
      <c r="I609" s="121">
        <f t="shared" si="280"/>
        <v>-552696</v>
      </c>
      <c r="J609" s="121">
        <f t="shared" si="280"/>
        <v>-79457889</v>
      </c>
      <c r="K609" s="121">
        <f t="shared" si="280"/>
        <v>53299655</v>
      </c>
      <c r="L609" s="121">
        <f t="shared" si="280"/>
        <v>11801179</v>
      </c>
      <c r="M609" s="121">
        <f t="shared" si="280"/>
        <v>0</v>
      </c>
      <c r="N609" s="121">
        <f t="shared" si="280"/>
        <v>0</v>
      </c>
      <c r="O609" s="121">
        <f t="shared" si="280"/>
        <v>0</v>
      </c>
      <c r="P609" s="121">
        <f t="shared" si="280"/>
        <v>0</v>
      </c>
      <c r="Q609" s="121">
        <f t="shared" si="280"/>
        <v>0</v>
      </c>
      <c r="R609" s="121">
        <f t="shared" si="280"/>
        <v>0</v>
      </c>
      <c r="S609" s="121">
        <f t="shared" si="280"/>
        <v>0</v>
      </c>
      <c r="T609" s="121">
        <f t="shared" si="280"/>
        <v>0</v>
      </c>
      <c r="U609" s="121">
        <f t="shared" si="280"/>
        <v>0</v>
      </c>
      <c r="V609" s="121">
        <f t="shared" si="280"/>
        <v>0</v>
      </c>
      <c r="W609" s="121"/>
    </row>
    <row r="610" spans="1:23" s="41" customFormat="1" ht="13.5" customHeight="1">
      <c r="A610" s="122"/>
      <c r="B610" s="233" t="s">
        <v>26</v>
      </c>
      <c r="C610" s="234"/>
      <c r="D610" s="119"/>
      <c r="E610" s="123"/>
      <c r="F610" s="124"/>
      <c r="G610" s="120"/>
      <c r="H610" s="121">
        <f t="shared" si="280"/>
        <v>2000000</v>
      </c>
      <c r="I610" s="121">
        <f t="shared" si="280"/>
        <v>-6000000</v>
      </c>
      <c r="J610" s="121">
        <f t="shared" si="280"/>
        <v>0</v>
      </c>
      <c r="K610" s="121">
        <f t="shared" si="280"/>
        <v>0</v>
      </c>
      <c r="L610" s="121">
        <f t="shared" si="280"/>
        <v>2000000</v>
      </c>
      <c r="M610" s="121">
        <f t="shared" si="280"/>
        <v>3000000</v>
      </c>
      <c r="N610" s="121">
        <f t="shared" si="280"/>
        <v>3000000</v>
      </c>
      <c r="O610" s="121">
        <f t="shared" si="280"/>
        <v>0</v>
      </c>
      <c r="P610" s="121">
        <f t="shared" si="280"/>
        <v>0</v>
      </c>
      <c r="Q610" s="121">
        <f t="shared" si="280"/>
        <v>0</v>
      </c>
      <c r="R610" s="121">
        <f t="shared" si="280"/>
        <v>0</v>
      </c>
      <c r="S610" s="121">
        <f t="shared" si="280"/>
        <v>0</v>
      </c>
      <c r="T610" s="121">
        <f t="shared" si="280"/>
        <v>0</v>
      </c>
      <c r="U610" s="121">
        <f t="shared" si="280"/>
        <v>0</v>
      </c>
      <c r="V610" s="121">
        <f t="shared" si="280"/>
        <v>0</v>
      </c>
      <c r="W610" s="121"/>
    </row>
    <row r="611" spans="1:23">
      <c r="A611" s="108"/>
      <c r="B611" s="111"/>
      <c r="C611" s="109"/>
      <c r="D611" s="108"/>
      <c r="E611" s="108"/>
      <c r="F611" s="108"/>
      <c r="G611" s="108"/>
      <c r="H611" s="110"/>
      <c r="I611" s="110"/>
      <c r="J611" s="110"/>
      <c r="K611" s="110"/>
      <c r="L611" s="110"/>
      <c r="M611" s="110"/>
      <c r="N611" s="110"/>
      <c r="O611" s="110"/>
      <c r="P611" s="110"/>
      <c r="Q611" s="110"/>
      <c r="R611" s="110"/>
      <c r="S611" s="110"/>
      <c r="T611" s="110"/>
      <c r="U611" s="110"/>
      <c r="V611" s="110"/>
      <c r="W611" s="110"/>
    </row>
    <row r="612" spans="1:23">
      <c r="A612" s="108"/>
      <c r="B612" s="109"/>
      <c r="C612" s="109"/>
      <c r="D612" s="108"/>
      <c r="E612" s="108"/>
      <c r="F612" s="108"/>
      <c r="G612" s="108"/>
      <c r="H612" s="110"/>
      <c r="I612" s="110"/>
      <c r="J612" s="110"/>
      <c r="K612" s="110"/>
      <c r="L612" s="110"/>
      <c r="M612" s="110"/>
      <c r="N612" s="110"/>
      <c r="O612" s="110"/>
      <c r="P612" s="110"/>
      <c r="Q612" s="110"/>
      <c r="R612" s="110"/>
      <c r="S612" s="110"/>
      <c r="T612" s="110"/>
      <c r="U612" s="110"/>
      <c r="V612" s="110"/>
      <c r="W612" s="110"/>
    </row>
    <row r="613" spans="1:23">
      <c r="A613" s="108"/>
      <c r="B613" s="109"/>
      <c r="C613" s="109"/>
      <c r="D613" s="108"/>
      <c r="E613" s="108"/>
      <c r="F613" s="108"/>
      <c r="G613" s="108"/>
      <c r="H613" s="110"/>
      <c r="I613" s="110"/>
      <c r="J613" s="110"/>
      <c r="K613" s="110"/>
      <c r="L613" s="110"/>
      <c r="M613" s="110"/>
      <c r="N613" s="110"/>
      <c r="O613" s="110"/>
      <c r="P613" s="110"/>
      <c r="Q613" s="110"/>
      <c r="R613" s="110"/>
      <c r="S613" s="110"/>
      <c r="T613" s="110"/>
      <c r="U613" s="110"/>
      <c r="V613" s="110"/>
      <c r="W613" s="110"/>
    </row>
    <row r="614" spans="1:23">
      <c r="A614" s="108"/>
      <c r="B614" s="109"/>
      <c r="C614" s="109"/>
      <c r="D614" s="108"/>
      <c r="E614" s="108"/>
      <c r="F614" s="108"/>
      <c r="G614" s="108"/>
      <c r="H614" s="110"/>
      <c r="I614" s="110"/>
      <c r="J614" s="110"/>
      <c r="K614" s="110"/>
      <c r="L614" s="110"/>
      <c r="M614" s="110"/>
      <c r="N614" s="110"/>
      <c r="O614" s="110"/>
      <c r="P614" s="110"/>
      <c r="Q614" s="110"/>
      <c r="R614" s="110"/>
      <c r="S614" s="110"/>
      <c r="T614" s="110"/>
      <c r="U614" s="110"/>
      <c r="V614" s="110"/>
      <c r="W614" s="110"/>
    </row>
    <row r="615" spans="1:23">
      <c r="A615" s="108"/>
      <c r="B615" s="109"/>
      <c r="C615" s="109"/>
      <c r="D615" s="108"/>
      <c r="E615" s="108"/>
      <c r="F615" s="108"/>
      <c r="G615" s="108"/>
      <c r="H615" s="110"/>
      <c r="I615" s="110"/>
      <c r="J615" s="110"/>
      <c r="K615" s="110"/>
      <c r="L615" s="110"/>
      <c r="M615" s="110"/>
      <c r="N615" s="110"/>
      <c r="O615" s="110"/>
      <c r="P615" s="110"/>
      <c r="Q615" s="110"/>
      <c r="R615" s="110"/>
      <c r="S615" s="110"/>
      <c r="T615" s="110"/>
      <c r="U615" s="110"/>
      <c r="V615" s="110"/>
      <c r="W615" s="110"/>
    </row>
    <row r="616" spans="1:23">
      <c r="A616" s="108"/>
      <c r="B616" s="109"/>
      <c r="C616" s="109"/>
      <c r="D616" s="108"/>
      <c r="E616" s="108"/>
      <c r="F616" s="108"/>
      <c r="G616" s="108"/>
      <c r="H616" s="110"/>
      <c r="I616" s="110"/>
      <c r="J616" s="110"/>
      <c r="K616" s="110"/>
      <c r="L616" s="110"/>
      <c r="M616" s="110"/>
      <c r="N616" s="110"/>
      <c r="O616" s="110"/>
      <c r="P616" s="110"/>
      <c r="Q616" s="110"/>
      <c r="R616" s="110"/>
      <c r="S616" s="110"/>
      <c r="T616" s="110"/>
      <c r="U616" s="110"/>
      <c r="V616" s="110"/>
      <c r="W616" s="110"/>
    </row>
    <row r="617" spans="1:23">
      <c r="A617" s="108"/>
      <c r="B617" s="109"/>
      <c r="C617" s="109"/>
      <c r="D617" s="108"/>
      <c r="E617" s="108"/>
      <c r="F617" s="108"/>
      <c r="G617" s="108"/>
      <c r="H617" s="110"/>
      <c r="I617" s="110"/>
      <c r="J617" s="110"/>
      <c r="K617" s="110"/>
      <c r="L617" s="110"/>
      <c r="M617" s="110"/>
      <c r="N617" s="110"/>
      <c r="O617" s="110"/>
      <c r="P617" s="110"/>
      <c r="Q617" s="110"/>
      <c r="R617" s="110"/>
      <c r="S617" s="110"/>
      <c r="T617" s="110"/>
      <c r="U617" s="110"/>
      <c r="V617" s="110"/>
      <c r="W617" s="110"/>
    </row>
    <row r="618" spans="1:23">
      <c r="A618" s="108"/>
      <c r="B618" s="109"/>
      <c r="C618" s="109"/>
      <c r="D618" s="108"/>
      <c r="E618" s="108"/>
      <c r="F618" s="108"/>
      <c r="G618" s="108"/>
      <c r="H618" s="110"/>
      <c r="I618" s="110"/>
      <c r="J618" s="110"/>
      <c r="K618" s="110"/>
      <c r="L618" s="110"/>
      <c r="M618" s="110"/>
      <c r="N618" s="110"/>
      <c r="O618" s="110"/>
      <c r="P618" s="110"/>
      <c r="Q618" s="110"/>
      <c r="R618" s="110"/>
      <c r="S618" s="110"/>
      <c r="T618" s="110"/>
      <c r="U618" s="110"/>
      <c r="V618" s="110"/>
      <c r="W618" s="110"/>
    </row>
    <row r="619" spans="1:23">
      <c r="A619" s="108"/>
      <c r="B619" s="109"/>
      <c r="C619" s="109"/>
      <c r="D619" s="108"/>
      <c r="E619" s="108"/>
      <c r="F619" s="108"/>
      <c r="G619" s="108"/>
      <c r="H619" s="110"/>
      <c r="I619" s="110"/>
      <c r="J619" s="110"/>
      <c r="K619" s="110"/>
      <c r="L619" s="110"/>
      <c r="M619" s="110"/>
      <c r="N619" s="110"/>
      <c r="O619" s="110"/>
      <c r="P619" s="110"/>
      <c r="Q619" s="110"/>
      <c r="R619" s="110"/>
      <c r="S619" s="110"/>
      <c r="T619" s="110"/>
      <c r="U619" s="110"/>
      <c r="V619" s="110"/>
      <c r="W619" s="110"/>
    </row>
    <row r="620" spans="1:23">
      <c r="A620" s="108"/>
      <c r="B620" s="109"/>
      <c r="C620" s="109"/>
      <c r="D620" s="108"/>
      <c r="E620" s="108"/>
      <c r="F620" s="108"/>
      <c r="G620" s="108"/>
      <c r="H620" s="110"/>
      <c r="I620" s="110"/>
      <c r="J620" s="110"/>
      <c r="K620" s="110"/>
      <c r="L620" s="110"/>
      <c r="M620" s="110"/>
      <c r="N620" s="110"/>
      <c r="O620" s="110"/>
      <c r="P620" s="110"/>
      <c r="Q620" s="110"/>
      <c r="R620" s="110"/>
      <c r="S620" s="110"/>
      <c r="T620" s="110"/>
      <c r="U620" s="110"/>
      <c r="V620" s="110"/>
      <c r="W620" s="110"/>
    </row>
    <row r="621" spans="1:23">
      <c r="A621" s="108"/>
      <c r="B621" s="109"/>
      <c r="C621" s="109"/>
      <c r="D621" s="108"/>
      <c r="E621" s="108"/>
      <c r="F621" s="108"/>
      <c r="G621" s="108"/>
      <c r="H621" s="110"/>
      <c r="I621" s="110"/>
      <c r="J621" s="110"/>
      <c r="K621" s="110"/>
      <c r="L621" s="110"/>
      <c r="M621" s="110"/>
      <c r="N621" s="110"/>
      <c r="O621" s="110"/>
      <c r="P621" s="110"/>
      <c r="Q621" s="110"/>
      <c r="R621" s="110"/>
      <c r="S621" s="110"/>
      <c r="T621" s="110"/>
      <c r="U621" s="110"/>
      <c r="V621" s="110"/>
      <c r="W621" s="110"/>
    </row>
    <row r="622" spans="1:23">
      <c r="A622" s="55"/>
      <c r="C622" s="109"/>
      <c r="D622" s="108"/>
      <c r="E622" s="108"/>
      <c r="F622" s="108"/>
      <c r="G622" s="108"/>
      <c r="H622" s="110"/>
      <c r="I622" s="110"/>
      <c r="J622" s="110"/>
      <c r="K622" s="110"/>
      <c r="L622" s="110"/>
      <c r="M622" s="110"/>
      <c r="N622" s="110"/>
      <c r="O622" s="110"/>
      <c r="P622" s="110"/>
      <c r="Q622" s="110"/>
      <c r="R622" s="110"/>
      <c r="S622" s="110"/>
      <c r="T622" s="110"/>
      <c r="U622" s="110"/>
      <c r="V622" s="110"/>
      <c r="W622" s="110"/>
    </row>
    <row r="623" spans="1:23">
      <c r="A623" s="108"/>
      <c r="B623" s="109"/>
      <c r="C623" s="109"/>
      <c r="D623" s="108"/>
      <c r="E623" s="108"/>
      <c r="F623" s="108"/>
      <c r="G623" s="108"/>
      <c r="H623" s="110"/>
      <c r="I623" s="110"/>
      <c r="J623" s="110"/>
      <c r="K623" s="110"/>
      <c r="L623" s="110"/>
      <c r="M623" s="110"/>
      <c r="N623" s="110"/>
      <c r="O623" s="110"/>
      <c r="P623" s="110"/>
      <c r="Q623" s="110"/>
      <c r="R623" s="110"/>
      <c r="S623" s="110"/>
      <c r="T623" s="110"/>
      <c r="U623" s="110"/>
      <c r="V623" s="110"/>
      <c r="W623" s="110"/>
    </row>
    <row r="624" spans="1:23">
      <c r="A624" s="108"/>
      <c r="B624" s="109"/>
      <c r="C624" s="109"/>
      <c r="D624" s="108"/>
      <c r="E624" s="108"/>
      <c r="F624" s="108"/>
      <c r="G624" s="108"/>
      <c r="H624" s="110"/>
      <c r="I624" s="110"/>
      <c r="J624" s="110"/>
      <c r="K624" s="110"/>
      <c r="L624" s="110"/>
      <c r="M624" s="110"/>
      <c r="N624" s="110"/>
      <c r="O624" s="110"/>
      <c r="P624" s="110"/>
      <c r="Q624" s="110"/>
      <c r="R624" s="110"/>
      <c r="S624" s="110"/>
      <c r="T624" s="110"/>
      <c r="U624" s="110"/>
      <c r="V624" s="110"/>
      <c r="W624" s="110"/>
    </row>
    <row r="625" spans="1:23">
      <c r="A625" s="108"/>
      <c r="B625" s="109"/>
      <c r="C625" s="109"/>
      <c r="D625" s="108"/>
      <c r="E625" s="108"/>
      <c r="F625" s="108"/>
      <c r="G625" s="108"/>
      <c r="H625" s="110"/>
      <c r="I625" s="110"/>
      <c r="J625" s="110"/>
      <c r="K625" s="110"/>
      <c r="L625" s="110"/>
      <c r="M625" s="110"/>
      <c r="N625" s="110"/>
      <c r="O625" s="110"/>
      <c r="P625" s="110"/>
      <c r="Q625" s="110"/>
      <c r="R625" s="110"/>
      <c r="S625" s="110"/>
      <c r="T625" s="110"/>
      <c r="U625" s="110"/>
      <c r="V625" s="110"/>
      <c r="W625" s="110"/>
    </row>
    <row r="626" spans="1:23">
      <c r="A626" s="108"/>
      <c r="B626" s="109"/>
      <c r="C626" s="109"/>
      <c r="D626" s="108"/>
      <c r="E626" s="108"/>
      <c r="F626" s="108"/>
      <c r="G626" s="108"/>
      <c r="H626" s="110"/>
      <c r="I626" s="110"/>
      <c r="J626" s="110"/>
      <c r="K626" s="110"/>
      <c r="L626" s="110"/>
      <c r="M626" s="110"/>
      <c r="N626" s="110"/>
      <c r="O626" s="110"/>
      <c r="P626" s="110"/>
      <c r="Q626" s="110"/>
      <c r="R626" s="110"/>
      <c r="S626" s="110"/>
      <c r="T626" s="110"/>
      <c r="U626" s="110"/>
      <c r="V626" s="110"/>
      <c r="W626" s="110"/>
    </row>
    <row r="627" spans="1:23">
      <c r="A627" s="108"/>
      <c r="B627" s="111"/>
      <c r="C627" s="109"/>
      <c r="D627" s="108"/>
      <c r="E627" s="108"/>
      <c r="F627" s="108"/>
      <c r="G627" s="108"/>
      <c r="H627" s="110"/>
      <c r="I627" s="110"/>
      <c r="J627" s="110"/>
      <c r="K627" s="110"/>
      <c r="L627" s="110"/>
      <c r="M627" s="110"/>
      <c r="N627" s="110"/>
      <c r="O627" s="110"/>
      <c r="P627" s="110"/>
      <c r="Q627" s="110"/>
      <c r="R627" s="110"/>
      <c r="S627" s="110"/>
      <c r="T627" s="110"/>
      <c r="U627" s="110"/>
      <c r="V627" s="110"/>
      <c r="W627" s="110"/>
    </row>
    <row r="628" spans="1:23">
      <c r="A628" s="108"/>
      <c r="B628" s="109"/>
      <c r="C628" s="109"/>
      <c r="D628" s="108"/>
      <c r="E628" s="108"/>
      <c r="F628" s="108"/>
      <c r="G628" s="108"/>
      <c r="H628" s="110"/>
      <c r="I628" s="110"/>
      <c r="J628" s="110"/>
      <c r="K628" s="110"/>
      <c r="L628" s="110"/>
      <c r="M628" s="110"/>
      <c r="N628" s="110"/>
      <c r="O628" s="110"/>
      <c r="P628" s="110"/>
      <c r="Q628" s="110"/>
      <c r="R628" s="110"/>
      <c r="S628" s="110"/>
      <c r="T628" s="110"/>
      <c r="U628" s="110"/>
      <c r="V628" s="110"/>
      <c r="W628" s="110"/>
    </row>
    <row r="629" spans="1:23">
      <c r="A629" s="108"/>
      <c r="B629" s="109"/>
      <c r="C629" s="109"/>
      <c r="D629" s="108"/>
      <c r="E629" s="108"/>
      <c r="F629" s="108"/>
      <c r="G629" s="108"/>
      <c r="H629" s="110"/>
      <c r="I629" s="110"/>
      <c r="J629" s="110"/>
      <c r="K629" s="110"/>
      <c r="L629" s="110"/>
      <c r="M629" s="110"/>
      <c r="N629" s="110"/>
      <c r="O629" s="110"/>
      <c r="P629" s="110"/>
      <c r="Q629" s="110"/>
      <c r="R629" s="110"/>
      <c r="S629" s="110"/>
      <c r="T629" s="110"/>
      <c r="U629" s="110"/>
      <c r="V629" s="110"/>
      <c r="W629" s="110"/>
    </row>
    <row r="630" spans="1:23">
      <c r="A630" s="108"/>
      <c r="B630" s="109"/>
      <c r="C630" s="109"/>
      <c r="D630" s="108"/>
      <c r="E630" s="108"/>
      <c r="F630" s="108"/>
      <c r="G630" s="108"/>
      <c r="H630" s="110"/>
      <c r="I630" s="110"/>
      <c r="J630" s="110"/>
      <c r="K630" s="110"/>
      <c r="L630" s="110"/>
      <c r="M630" s="110"/>
      <c r="N630" s="110"/>
      <c r="O630" s="110"/>
      <c r="P630" s="110"/>
      <c r="Q630" s="110"/>
      <c r="R630" s="110"/>
      <c r="S630" s="110"/>
      <c r="T630" s="110"/>
      <c r="U630" s="110"/>
      <c r="V630" s="110"/>
      <c r="W630" s="110"/>
    </row>
    <row r="631" spans="1:23">
      <c r="A631" s="108"/>
      <c r="B631" s="109"/>
      <c r="C631" s="109"/>
      <c r="D631" s="108"/>
      <c r="E631" s="108"/>
      <c r="F631" s="108"/>
      <c r="G631" s="108"/>
      <c r="H631" s="110"/>
      <c r="I631" s="110"/>
      <c r="J631" s="110"/>
      <c r="K631" s="110"/>
      <c r="L631" s="110"/>
      <c r="M631" s="110"/>
      <c r="N631" s="110"/>
      <c r="O631" s="110"/>
      <c r="P631" s="110"/>
      <c r="Q631" s="110"/>
      <c r="R631" s="110"/>
      <c r="S631" s="110"/>
      <c r="T631" s="110"/>
      <c r="U631" s="110"/>
      <c r="V631" s="110"/>
      <c r="W631" s="110"/>
    </row>
    <row r="632" spans="1:23">
      <c r="A632" s="108"/>
      <c r="B632" s="109"/>
      <c r="C632" s="109"/>
      <c r="D632" s="108"/>
      <c r="E632" s="108"/>
      <c r="F632" s="108"/>
      <c r="G632" s="108"/>
      <c r="H632" s="110"/>
      <c r="I632" s="110"/>
      <c r="J632" s="110"/>
      <c r="K632" s="110"/>
      <c r="L632" s="110"/>
      <c r="M632" s="110"/>
      <c r="N632" s="110"/>
      <c r="O632" s="110"/>
      <c r="P632" s="110"/>
      <c r="Q632" s="110"/>
      <c r="R632" s="110"/>
      <c r="S632" s="110"/>
      <c r="T632" s="110"/>
      <c r="U632" s="110"/>
      <c r="V632" s="110"/>
      <c r="W632" s="110"/>
    </row>
    <row r="633" spans="1:23">
      <c r="A633" s="108"/>
      <c r="B633" s="109"/>
      <c r="C633" s="109"/>
      <c r="D633" s="108"/>
      <c r="E633" s="108"/>
      <c r="F633" s="108"/>
      <c r="G633" s="108"/>
      <c r="H633" s="110"/>
      <c r="I633" s="110"/>
      <c r="J633" s="110"/>
      <c r="K633" s="110"/>
      <c r="L633" s="110"/>
      <c r="M633" s="110"/>
      <c r="N633" s="110"/>
      <c r="O633" s="110"/>
      <c r="P633" s="110"/>
      <c r="Q633" s="110"/>
      <c r="R633" s="110"/>
      <c r="S633" s="110"/>
      <c r="T633" s="110"/>
      <c r="U633" s="110"/>
      <c r="V633" s="110"/>
      <c r="W633" s="110"/>
    </row>
    <row r="634" spans="1:23">
      <c r="A634" s="108"/>
      <c r="B634" s="109"/>
      <c r="C634" s="109"/>
      <c r="D634" s="108"/>
      <c r="E634" s="108"/>
      <c r="F634" s="108"/>
      <c r="G634" s="108"/>
      <c r="H634" s="110"/>
      <c r="I634" s="110"/>
      <c r="J634" s="110"/>
      <c r="K634" s="110"/>
      <c r="L634" s="110"/>
      <c r="M634" s="110"/>
      <c r="N634" s="110"/>
      <c r="O634" s="110"/>
      <c r="P634" s="110"/>
      <c r="Q634" s="110"/>
      <c r="R634" s="110"/>
      <c r="S634" s="110"/>
      <c r="T634" s="110"/>
      <c r="U634" s="110"/>
      <c r="V634" s="110"/>
      <c r="W634" s="110"/>
    </row>
    <row r="635" spans="1:23">
      <c r="A635" s="108"/>
      <c r="B635" s="109"/>
      <c r="C635" s="109"/>
      <c r="D635" s="108"/>
      <c r="E635" s="108"/>
      <c r="F635" s="108"/>
      <c r="G635" s="108"/>
      <c r="H635" s="110"/>
      <c r="I635" s="110"/>
      <c r="J635" s="110"/>
      <c r="K635" s="110"/>
      <c r="L635" s="110"/>
      <c r="M635" s="110"/>
      <c r="N635" s="110"/>
      <c r="O635" s="110"/>
      <c r="P635" s="110"/>
      <c r="Q635" s="110"/>
      <c r="R635" s="110"/>
      <c r="S635" s="110"/>
      <c r="T635" s="110"/>
      <c r="U635" s="110"/>
      <c r="V635" s="110"/>
      <c r="W635" s="110"/>
    </row>
    <row r="636" spans="1:23">
      <c r="A636" s="108"/>
      <c r="B636" s="109"/>
      <c r="C636" s="109"/>
      <c r="D636" s="108"/>
      <c r="E636" s="108"/>
      <c r="F636" s="108"/>
      <c r="G636" s="108"/>
      <c r="H636" s="110"/>
      <c r="I636" s="110"/>
      <c r="J636" s="110"/>
      <c r="K636" s="110"/>
      <c r="L636" s="110"/>
      <c r="M636" s="110"/>
      <c r="N636" s="110"/>
      <c r="O636" s="110"/>
      <c r="P636" s="110"/>
      <c r="Q636" s="110"/>
      <c r="R636" s="110"/>
      <c r="S636" s="110"/>
      <c r="T636" s="110"/>
      <c r="U636" s="110"/>
      <c r="V636" s="110"/>
      <c r="W636" s="110"/>
    </row>
    <row r="637" spans="1:23">
      <c r="A637" s="108"/>
      <c r="B637" s="109"/>
      <c r="C637" s="109"/>
      <c r="D637" s="108"/>
      <c r="E637" s="108"/>
      <c r="F637" s="108"/>
      <c r="G637" s="108"/>
      <c r="H637" s="110"/>
      <c r="I637" s="110"/>
      <c r="J637" s="110"/>
      <c r="K637" s="110"/>
      <c r="L637" s="110"/>
      <c r="M637" s="110"/>
      <c r="N637" s="110"/>
      <c r="O637" s="110"/>
      <c r="P637" s="110"/>
      <c r="Q637" s="110"/>
      <c r="R637" s="110"/>
      <c r="S637" s="110"/>
      <c r="T637" s="110"/>
      <c r="U637" s="110"/>
      <c r="V637" s="110"/>
      <c r="W637" s="110"/>
    </row>
    <row r="638" spans="1:23">
      <c r="A638" s="108"/>
      <c r="B638" s="109"/>
      <c r="C638" s="109"/>
      <c r="D638" s="108"/>
      <c r="E638" s="108"/>
      <c r="F638" s="108"/>
      <c r="G638" s="108"/>
      <c r="H638" s="110"/>
      <c r="I638" s="110"/>
      <c r="J638" s="110"/>
      <c r="K638" s="110"/>
      <c r="L638" s="110"/>
      <c r="M638" s="110"/>
      <c r="N638" s="110"/>
      <c r="O638" s="110"/>
      <c r="P638" s="110"/>
      <c r="Q638" s="110"/>
      <c r="R638" s="110"/>
      <c r="S638" s="110"/>
      <c r="T638" s="110"/>
      <c r="U638" s="110"/>
      <c r="V638" s="110"/>
      <c r="W638" s="110"/>
    </row>
    <row r="639" spans="1:23">
      <c r="A639" s="108"/>
      <c r="B639" s="109"/>
      <c r="C639" s="109"/>
      <c r="D639" s="108"/>
      <c r="E639" s="108"/>
      <c r="F639" s="108"/>
      <c r="G639" s="108"/>
      <c r="H639" s="110"/>
      <c r="I639" s="110"/>
      <c r="J639" s="110"/>
      <c r="K639" s="110"/>
      <c r="L639" s="110"/>
      <c r="M639" s="110"/>
      <c r="N639" s="110"/>
      <c r="O639" s="110"/>
      <c r="P639" s="110"/>
      <c r="Q639" s="110"/>
      <c r="R639" s="110"/>
      <c r="S639" s="110"/>
      <c r="T639" s="110"/>
      <c r="U639" s="110"/>
      <c r="V639" s="110"/>
      <c r="W639" s="110"/>
    </row>
    <row r="640" spans="1:23">
      <c r="A640" s="108"/>
      <c r="B640" s="109"/>
      <c r="C640" s="109"/>
      <c r="D640" s="108"/>
      <c r="E640" s="108"/>
      <c r="F640" s="108"/>
      <c r="G640" s="108"/>
      <c r="H640" s="110"/>
      <c r="I640" s="110"/>
      <c r="J640" s="110"/>
      <c r="K640" s="110"/>
      <c r="L640" s="110"/>
      <c r="M640" s="110"/>
      <c r="N640" s="110"/>
      <c r="O640" s="110"/>
      <c r="P640" s="110"/>
      <c r="Q640" s="110"/>
      <c r="R640" s="110"/>
      <c r="S640" s="110"/>
      <c r="T640" s="110"/>
      <c r="U640" s="110"/>
      <c r="V640" s="110"/>
      <c r="W640" s="110"/>
    </row>
    <row r="641" spans="1:23">
      <c r="A641" s="108"/>
      <c r="B641" s="109"/>
      <c r="C641" s="109"/>
      <c r="D641" s="108"/>
      <c r="E641" s="108"/>
      <c r="F641" s="108"/>
      <c r="G641" s="108"/>
      <c r="H641" s="110"/>
      <c r="I641" s="110"/>
      <c r="J641" s="110"/>
      <c r="K641" s="110"/>
      <c r="L641" s="110"/>
      <c r="M641" s="110"/>
      <c r="N641" s="110"/>
      <c r="O641" s="110"/>
      <c r="P641" s="110"/>
      <c r="Q641" s="110"/>
      <c r="R641" s="110"/>
      <c r="S641" s="110"/>
      <c r="T641" s="110"/>
      <c r="U641" s="110"/>
      <c r="V641" s="110"/>
      <c r="W641" s="110"/>
    </row>
    <row r="642" spans="1:23">
      <c r="A642" s="108"/>
      <c r="B642" s="109"/>
      <c r="C642" s="109"/>
      <c r="D642" s="108"/>
      <c r="E642" s="108"/>
      <c r="F642" s="108"/>
      <c r="G642" s="108"/>
      <c r="H642" s="110"/>
      <c r="I642" s="110"/>
      <c r="J642" s="110"/>
      <c r="K642" s="110"/>
      <c r="L642" s="110"/>
      <c r="M642" s="110"/>
      <c r="N642" s="110"/>
      <c r="O642" s="110"/>
      <c r="P642" s="110"/>
      <c r="Q642" s="110"/>
      <c r="R642" s="110"/>
      <c r="S642" s="110"/>
      <c r="T642" s="110"/>
      <c r="U642" s="110"/>
      <c r="V642" s="110"/>
      <c r="W642" s="110"/>
    </row>
    <row r="643" spans="1:23">
      <c r="A643" s="108"/>
      <c r="B643" s="109"/>
      <c r="C643" s="109"/>
      <c r="D643" s="108"/>
      <c r="E643" s="108"/>
      <c r="F643" s="108"/>
      <c r="G643" s="108"/>
      <c r="H643" s="110"/>
      <c r="I643" s="110"/>
      <c r="J643" s="110"/>
      <c r="K643" s="110"/>
      <c r="L643" s="110"/>
      <c r="M643" s="110"/>
      <c r="N643" s="110"/>
      <c r="O643" s="110"/>
      <c r="P643" s="110"/>
      <c r="Q643" s="110"/>
      <c r="R643" s="110"/>
      <c r="S643" s="110"/>
      <c r="T643" s="110"/>
      <c r="U643" s="110"/>
      <c r="V643" s="110"/>
      <c r="W643" s="110"/>
    </row>
    <row r="644" spans="1:23">
      <c r="A644" s="108"/>
      <c r="B644" s="109"/>
      <c r="C644" s="109"/>
      <c r="D644" s="108"/>
      <c r="E644" s="108"/>
      <c r="F644" s="108"/>
      <c r="G644" s="108"/>
      <c r="H644" s="110"/>
      <c r="I644" s="110"/>
      <c r="J644" s="110"/>
      <c r="K644" s="110"/>
      <c r="L644" s="110"/>
      <c r="M644" s="110"/>
      <c r="N644" s="110"/>
      <c r="O644" s="110"/>
      <c r="P644" s="110"/>
      <c r="Q644" s="110"/>
      <c r="R644" s="110"/>
      <c r="S644" s="110"/>
      <c r="T644" s="110"/>
      <c r="U644" s="110"/>
      <c r="V644" s="110"/>
      <c r="W644" s="110"/>
    </row>
    <row r="645" spans="1:23">
      <c r="H645" s="1"/>
    </row>
    <row r="646" spans="1:23">
      <c r="H646" s="1"/>
    </row>
    <row r="647" spans="1:23">
      <c r="H647" s="1"/>
    </row>
    <row r="648" spans="1:23">
      <c r="H648" s="1"/>
    </row>
    <row r="649" spans="1:23">
      <c r="H649" s="1"/>
    </row>
    <row r="650" spans="1:23">
      <c r="H650" s="1"/>
    </row>
  </sheetData>
  <mergeCells count="827">
    <mergeCell ref="A606:C606"/>
    <mergeCell ref="E606:F606"/>
    <mergeCell ref="B607:C607"/>
    <mergeCell ref="B608:C608"/>
    <mergeCell ref="B609:C609"/>
    <mergeCell ref="B610:C610"/>
    <mergeCell ref="B598:C598"/>
    <mergeCell ref="B599:C599"/>
    <mergeCell ref="B600:C600"/>
    <mergeCell ref="A601:C601"/>
    <mergeCell ref="E601:F601"/>
    <mergeCell ref="B602:C602"/>
    <mergeCell ref="B603:C603"/>
    <mergeCell ref="B604:C604"/>
    <mergeCell ref="B605:C605"/>
    <mergeCell ref="A589:C589"/>
    <mergeCell ref="E589:F589"/>
    <mergeCell ref="B590:C590"/>
    <mergeCell ref="B591:C591"/>
    <mergeCell ref="B592:C592"/>
    <mergeCell ref="B593:C593"/>
    <mergeCell ref="A596:C596"/>
    <mergeCell ref="E596:F596"/>
    <mergeCell ref="B597:C597"/>
    <mergeCell ref="B581:C581"/>
    <mergeCell ref="B582:C582"/>
    <mergeCell ref="B583:C583"/>
    <mergeCell ref="A584:C584"/>
    <mergeCell ref="E584:F584"/>
    <mergeCell ref="B585:C585"/>
    <mergeCell ref="B586:C586"/>
    <mergeCell ref="B587:C587"/>
    <mergeCell ref="B588:C588"/>
    <mergeCell ref="D338:D341"/>
    <mergeCell ref="E338:F341"/>
    <mergeCell ref="G338:G341"/>
    <mergeCell ref="A339:C339"/>
    <mergeCell ref="B340:C340"/>
    <mergeCell ref="A341:C341"/>
    <mergeCell ref="A579:C579"/>
    <mergeCell ref="E579:F579"/>
    <mergeCell ref="B580:C580"/>
    <mergeCell ref="G396:G399"/>
    <mergeCell ref="E388:F391"/>
    <mergeCell ref="G388:G391"/>
    <mergeCell ref="A389:C389"/>
    <mergeCell ref="G354:G358"/>
    <mergeCell ref="A376:C376"/>
    <mergeCell ref="A537:C537"/>
    <mergeCell ref="G383:G387"/>
    <mergeCell ref="A384:C384"/>
    <mergeCell ref="B385:C385"/>
    <mergeCell ref="A386:C386"/>
    <mergeCell ref="E396:F399"/>
    <mergeCell ref="D520:D523"/>
    <mergeCell ref="E520:F523"/>
    <mergeCell ref="G520:G523"/>
    <mergeCell ref="D333:D337"/>
    <mergeCell ref="E333:F337"/>
    <mergeCell ref="G333:G337"/>
    <mergeCell ref="A334:C334"/>
    <mergeCell ref="B335:C335"/>
    <mergeCell ref="B336:C336"/>
    <mergeCell ref="A337:C337"/>
    <mergeCell ref="A329:C329"/>
    <mergeCell ref="B330:C330"/>
    <mergeCell ref="D328:D332"/>
    <mergeCell ref="E328:F332"/>
    <mergeCell ref="G328:G332"/>
    <mergeCell ref="B331:C331"/>
    <mergeCell ref="A332:C332"/>
    <mergeCell ref="D342:D345"/>
    <mergeCell ref="E342:F345"/>
    <mergeCell ref="G342:G345"/>
    <mergeCell ref="A343:C343"/>
    <mergeCell ref="B344:C344"/>
    <mergeCell ref="A345:C345"/>
    <mergeCell ref="D392:D395"/>
    <mergeCell ref="E392:F395"/>
    <mergeCell ref="G392:G395"/>
    <mergeCell ref="A393:C393"/>
    <mergeCell ref="B394:C394"/>
    <mergeCell ref="D375:D378"/>
    <mergeCell ref="E375:F378"/>
    <mergeCell ref="G375:G378"/>
    <mergeCell ref="D346:D349"/>
    <mergeCell ref="E346:F349"/>
    <mergeCell ref="G346:G349"/>
    <mergeCell ref="A347:C347"/>
    <mergeCell ref="B348:C348"/>
    <mergeCell ref="G350:G353"/>
    <mergeCell ref="G363:G366"/>
    <mergeCell ref="A364:C364"/>
    <mergeCell ref="B365:C365"/>
    <mergeCell ref="A366:C366"/>
    <mergeCell ref="D223:D229"/>
    <mergeCell ref="E223:F229"/>
    <mergeCell ref="G223:G229"/>
    <mergeCell ref="A227:C227"/>
    <mergeCell ref="B305:C305"/>
    <mergeCell ref="G313:G318"/>
    <mergeCell ref="A314:C314"/>
    <mergeCell ref="A315:C315"/>
    <mergeCell ref="B316:C316"/>
    <mergeCell ref="B310:C310"/>
    <mergeCell ref="G308:G312"/>
    <mergeCell ref="D308:D312"/>
    <mergeCell ref="E308:F312"/>
    <mergeCell ref="B249:C249"/>
    <mergeCell ref="G273:G276"/>
    <mergeCell ref="A274:C274"/>
    <mergeCell ref="B275:C275"/>
    <mergeCell ref="A276:C276"/>
    <mergeCell ref="G277:G280"/>
    <mergeCell ref="B232:C232"/>
    <mergeCell ref="B233:C233"/>
    <mergeCell ref="G269:G272"/>
    <mergeCell ref="B298:C298"/>
    <mergeCell ref="D239:D245"/>
    <mergeCell ref="A521:C521"/>
    <mergeCell ref="B522:C522"/>
    <mergeCell ref="A523:C523"/>
    <mergeCell ref="A413:C413"/>
    <mergeCell ref="A414:C414"/>
    <mergeCell ref="B415:C415"/>
    <mergeCell ref="D533:D535"/>
    <mergeCell ref="A407:C407"/>
    <mergeCell ref="D460:D463"/>
    <mergeCell ref="D464:D467"/>
    <mergeCell ref="D429:D433"/>
    <mergeCell ref="D455:D459"/>
    <mergeCell ref="D468:D471"/>
    <mergeCell ref="A469:C469"/>
    <mergeCell ref="B470:C470"/>
    <mergeCell ref="A471:C471"/>
    <mergeCell ref="D472:D475"/>
    <mergeCell ref="A473:C473"/>
    <mergeCell ref="B474:C474"/>
    <mergeCell ref="A475:C475"/>
    <mergeCell ref="D484:D487"/>
    <mergeCell ref="A485:C485"/>
    <mergeCell ref="B486:C486"/>
    <mergeCell ref="A487:C487"/>
    <mergeCell ref="B538:C538"/>
    <mergeCell ref="D539:D541"/>
    <mergeCell ref="E539:F541"/>
    <mergeCell ref="G539:G541"/>
    <mergeCell ref="A540:C540"/>
    <mergeCell ref="B541:C541"/>
    <mergeCell ref="A157:C157"/>
    <mergeCell ref="A158:C158"/>
    <mergeCell ref="B159:C159"/>
    <mergeCell ref="B160:C160"/>
    <mergeCell ref="D156:D161"/>
    <mergeCell ref="E156:F161"/>
    <mergeCell ref="G156:G161"/>
    <mergeCell ref="D439:D442"/>
    <mergeCell ref="E439:F442"/>
    <mergeCell ref="G439:G442"/>
    <mergeCell ref="A440:C440"/>
    <mergeCell ref="A441:C441"/>
    <mergeCell ref="B442:C442"/>
    <mergeCell ref="A250:C250"/>
    <mergeCell ref="D218:D222"/>
    <mergeCell ref="A231:C231"/>
    <mergeCell ref="G239:G245"/>
    <mergeCell ref="A395:C395"/>
    <mergeCell ref="G460:G463"/>
    <mergeCell ref="A461:C461"/>
    <mergeCell ref="B462:C462"/>
    <mergeCell ref="A463:C463"/>
    <mergeCell ref="D400:D403"/>
    <mergeCell ref="G404:G407"/>
    <mergeCell ref="A405:C405"/>
    <mergeCell ref="B406:C406"/>
    <mergeCell ref="D412:D415"/>
    <mergeCell ref="E412:F415"/>
    <mergeCell ref="G412:G415"/>
    <mergeCell ref="E400:F403"/>
    <mergeCell ref="G400:G403"/>
    <mergeCell ref="G429:G433"/>
    <mergeCell ref="A430:C430"/>
    <mergeCell ref="B431:C431"/>
    <mergeCell ref="B432:C432"/>
    <mergeCell ref="A433:C433"/>
    <mergeCell ref="D425:D428"/>
    <mergeCell ref="E425:F428"/>
    <mergeCell ref="G425:G428"/>
    <mergeCell ref="A426:C426"/>
    <mergeCell ref="B427:C427"/>
    <mergeCell ref="A428:C428"/>
    <mergeCell ref="E464:F467"/>
    <mergeCell ref="D434:D438"/>
    <mergeCell ref="E434:F438"/>
    <mergeCell ref="G434:G438"/>
    <mergeCell ref="A435:C435"/>
    <mergeCell ref="B436:C436"/>
    <mergeCell ref="B437:C437"/>
    <mergeCell ref="A438:C438"/>
    <mergeCell ref="E449:F449"/>
    <mergeCell ref="A450:C450"/>
    <mergeCell ref="E450:F450"/>
    <mergeCell ref="A452:C452"/>
    <mergeCell ref="D443:D446"/>
    <mergeCell ref="E443:F446"/>
    <mergeCell ref="G443:G446"/>
    <mergeCell ref="A444:C444"/>
    <mergeCell ref="A445:C445"/>
    <mergeCell ref="B446:C446"/>
    <mergeCell ref="G451:G454"/>
    <mergeCell ref="E447:F447"/>
    <mergeCell ref="A448:G448"/>
    <mergeCell ref="A449:C449"/>
    <mergeCell ref="E460:F463"/>
    <mergeCell ref="B457:C457"/>
    <mergeCell ref="A75:C75"/>
    <mergeCell ref="D70:D75"/>
    <mergeCell ref="E70:F75"/>
    <mergeCell ref="A80:C80"/>
    <mergeCell ref="B81:C81"/>
    <mergeCell ref="B82:C82"/>
    <mergeCell ref="G464:G467"/>
    <mergeCell ref="A465:C465"/>
    <mergeCell ref="B466:C466"/>
    <mergeCell ref="A467:C467"/>
    <mergeCell ref="D208:D212"/>
    <mergeCell ref="E208:F212"/>
    <mergeCell ref="G208:G212"/>
    <mergeCell ref="A209:C209"/>
    <mergeCell ref="B211:C211"/>
    <mergeCell ref="A212:C212"/>
    <mergeCell ref="D264:D268"/>
    <mergeCell ref="E264:F268"/>
    <mergeCell ref="G264:G268"/>
    <mergeCell ref="A265:C265"/>
    <mergeCell ref="B266:C266"/>
    <mergeCell ref="A267:C267"/>
    <mergeCell ref="B268:C268"/>
    <mergeCell ref="A219:C219"/>
    <mergeCell ref="G84:G91"/>
    <mergeCell ref="G52:G56"/>
    <mergeCell ref="G57:G61"/>
    <mergeCell ref="B88:C88"/>
    <mergeCell ref="B89:C89"/>
    <mergeCell ref="B91:C91"/>
    <mergeCell ref="G70:G75"/>
    <mergeCell ref="B86:C86"/>
    <mergeCell ref="D84:D91"/>
    <mergeCell ref="E84:F91"/>
    <mergeCell ref="D62:D69"/>
    <mergeCell ref="E62:F69"/>
    <mergeCell ref="G62:G69"/>
    <mergeCell ref="A63:C63"/>
    <mergeCell ref="B65:C65"/>
    <mergeCell ref="A67:C67"/>
    <mergeCell ref="G76:G83"/>
    <mergeCell ref="B74:C74"/>
    <mergeCell ref="A71:C71"/>
    <mergeCell ref="B72:C72"/>
    <mergeCell ref="B73:C73"/>
    <mergeCell ref="A77:C77"/>
    <mergeCell ref="B69:C69"/>
    <mergeCell ref="B64:C64"/>
    <mergeCell ref="B358:C358"/>
    <mergeCell ref="A351:C351"/>
    <mergeCell ref="D354:D358"/>
    <mergeCell ref="E354:F358"/>
    <mergeCell ref="D350:D353"/>
    <mergeCell ref="E350:F353"/>
    <mergeCell ref="A356:C356"/>
    <mergeCell ref="B357:C357"/>
    <mergeCell ref="G246:G250"/>
    <mergeCell ref="D289:D295"/>
    <mergeCell ref="E289:F295"/>
    <mergeCell ref="D273:D276"/>
    <mergeCell ref="G285:G288"/>
    <mergeCell ref="E251:F255"/>
    <mergeCell ref="G251:G255"/>
    <mergeCell ref="A252:C252"/>
    <mergeCell ref="B253:C253"/>
    <mergeCell ref="B254:C254"/>
    <mergeCell ref="A255:C255"/>
    <mergeCell ref="B352:C352"/>
    <mergeCell ref="A353:C353"/>
    <mergeCell ref="D296:D302"/>
    <mergeCell ref="E296:F302"/>
    <mergeCell ref="E269:F272"/>
    <mergeCell ref="B66:C66"/>
    <mergeCell ref="B68:C68"/>
    <mergeCell ref="A11:C11"/>
    <mergeCell ref="E11:F11"/>
    <mergeCell ref="D57:D61"/>
    <mergeCell ref="E57:F61"/>
    <mergeCell ref="A58:C58"/>
    <mergeCell ref="A59:C59"/>
    <mergeCell ref="B60:C60"/>
    <mergeCell ref="B61:C61"/>
    <mergeCell ref="D52:D56"/>
    <mergeCell ref="E52:F56"/>
    <mergeCell ref="A53:C53"/>
    <mergeCell ref="A54:C54"/>
    <mergeCell ref="B55:C55"/>
    <mergeCell ref="B56:C56"/>
    <mergeCell ref="D47:D51"/>
    <mergeCell ref="E47:F51"/>
    <mergeCell ref="D12:D16"/>
    <mergeCell ref="E12:F16"/>
    <mergeCell ref="D22:D26"/>
    <mergeCell ref="E22:F26"/>
    <mergeCell ref="Q1:U1"/>
    <mergeCell ref="B2:B3"/>
    <mergeCell ref="C2:C3"/>
    <mergeCell ref="D2:D3"/>
    <mergeCell ref="E2:F3"/>
    <mergeCell ref="G2:G3"/>
    <mergeCell ref="H2:H3"/>
    <mergeCell ref="I2:V2"/>
    <mergeCell ref="E8:F8"/>
    <mergeCell ref="W2:W3"/>
    <mergeCell ref="E4:F4"/>
    <mergeCell ref="A5:G5"/>
    <mergeCell ref="A6:C6"/>
    <mergeCell ref="E6:F6"/>
    <mergeCell ref="A7:C7"/>
    <mergeCell ref="E7:F7"/>
    <mergeCell ref="D42:D46"/>
    <mergeCell ref="E42:F46"/>
    <mergeCell ref="G42:G46"/>
    <mergeCell ref="A43:C43"/>
    <mergeCell ref="A44:C44"/>
    <mergeCell ref="B45:C45"/>
    <mergeCell ref="B46:C46"/>
    <mergeCell ref="D37:D41"/>
    <mergeCell ref="E37:F41"/>
    <mergeCell ref="G37:G41"/>
    <mergeCell ref="A38:C38"/>
    <mergeCell ref="A39:C39"/>
    <mergeCell ref="B40:C40"/>
    <mergeCell ref="B41:C41"/>
    <mergeCell ref="A9:G9"/>
    <mergeCell ref="A10:C10"/>
    <mergeCell ref="E10:F10"/>
    <mergeCell ref="B102:C102"/>
    <mergeCell ref="A93:C93"/>
    <mergeCell ref="A94:C94"/>
    <mergeCell ref="B90:C90"/>
    <mergeCell ref="D76:D83"/>
    <mergeCell ref="E76:F83"/>
    <mergeCell ref="A85:C85"/>
    <mergeCell ref="A87:C87"/>
    <mergeCell ref="B95:C95"/>
    <mergeCell ref="B96:C96"/>
    <mergeCell ref="D92:D97"/>
    <mergeCell ref="E92:F97"/>
    <mergeCell ref="B78:C78"/>
    <mergeCell ref="B83:C83"/>
    <mergeCell ref="B79:C79"/>
    <mergeCell ref="B131:C131"/>
    <mergeCell ref="G92:G97"/>
    <mergeCell ref="B97:C97"/>
    <mergeCell ref="B108:C108"/>
    <mergeCell ref="D103:D108"/>
    <mergeCell ref="G103:G108"/>
    <mergeCell ref="E115:F120"/>
    <mergeCell ref="G115:G120"/>
    <mergeCell ref="A104:C104"/>
    <mergeCell ref="A105:C105"/>
    <mergeCell ref="B118:C118"/>
    <mergeCell ref="B119:C119"/>
    <mergeCell ref="A116:C116"/>
    <mergeCell ref="B120:C120"/>
    <mergeCell ref="D115:D120"/>
    <mergeCell ref="E103:F108"/>
    <mergeCell ref="B106:C106"/>
    <mergeCell ref="B107:C107"/>
    <mergeCell ref="D98:D102"/>
    <mergeCell ref="E98:F102"/>
    <mergeCell ref="G98:G102"/>
    <mergeCell ref="A99:C99"/>
    <mergeCell ref="A100:C100"/>
    <mergeCell ref="B101:C101"/>
    <mergeCell ref="B137:C137"/>
    <mergeCell ref="E133:F137"/>
    <mergeCell ref="G133:G137"/>
    <mergeCell ref="D121:D126"/>
    <mergeCell ref="E121:F126"/>
    <mergeCell ref="G121:G126"/>
    <mergeCell ref="B114:C114"/>
    <mergeCell ref="D109:D114"/>
    <mergeCell ref="E109:F114"/>
    <mergeCell ref="G109:G114"/>
    <mergeCell ref="A122:C122"/>
    <mergeCell ref="A123:C123"/>
    <mergeCell ref="B124:C124"/>
    <mergeCell ref="B125:C125"/>
    <mergeCell ref="D133:D137"/>
    <mergeCell ref="A117:C117"/>
    <mergeCell ref="A110:C110"/>
    <mergeCell ref="A111:C111"/>
    <mergeCell ref="B112:C112"/>
    <mergeCell ref="B113:C113"/>
    <mergeCell ref="B126:C126"/>
    <mergeCell ref="A128:C128"/>
    <mergeCell ref="A129:C129"/>
    <mergeCell ref="B130:C130"/>
    <mergeCell ref="A163:C163"/>
    <mergeCell ref="B164:C164"/>
    <mergeCell ref="A165:C165"/>
    <mergeCell ref="B166:C166"/>
    <mergeCell ref="B179:C179"/>
    <mergeCell ref="B188:C188"/>
    <mergeCell ref="B185:C185"/>
    <mergeCell ref="B186:C186"/>
    <mergeCell ref="A187:C187"/>
    <mergeCell ref="B180:C180"/>
    <mergeCell ref="B181:C181"/>
    <mergeCell ref="A170:C170"/>
    <mergeCell ref="B171:C171"/>
    <mergeCell ref="A172:C172"/>
    <mergeCell ref="B173:C173"/>
    <mergeCell ref="B174:C174"/>
    <mergeCell ref="A178:C178"/>
    <mergeCell ref="A176:C176"/>
    <mergeCell ref="B177:C177"/>
    <mergeCell ref="B184:C184"/>
    <mergeCell ref="B561:C561"/>
    <mergeCell ref="B562:C562"/>
    <mergeCell ref="B563:C563"/>
    <mergeCell ref="A554:C554"/>
    <mergeCell ref="E554:F554"/>
    <mergeCell ref="B555:C555"/>
    <mergeCell ref="B556:C556"/>
    <mergeCell ref="B557:C557"/>
    <mergeCell ref="B558:C558"/>
    <mergeCell ref="A559:C559"/>
    <mergeCell ref="E559:F559"/>
    <mergeCell ref="B560:C560"/>
    <mergeCell ref="B552:C552"/>
    <mergeCell ref="B553:C553"/>
    <mergeCell ref="G203:G207"/>
    <mergeCell ref="A204:C204"/>
    <mergeCell ref="A205:C205"/>
    <mergeCell ref="B206:C206"/>
    <mergeCell ref="B207:C207"/>
    <mergeCell ref="A270:C270"/>
    <mergeCell ref="B271:C271"/>
    <mergeCell ref="E260:F260"/>
    <mergeCell ref="A261:G261"/>
    <mergeCell ref="A262:C262"/>
    <mergeCell ref="E262:F262"/>
    <mergeCell ref="A263:C263"/>
    <mergeCell ref="E263:F263"/>
    <mergeCell ref="E256:F256"/>
    <mergeCell ref="A257:G257"/>
    <mergeCell ref="A258:C258"/>
    <mergeCell ref="E258:F258"/>
    <mergeCell ref="A259:C259"/>
    <mergeCell ref="D536:D538"/>
    <mergeCell ref="E536:F538"/>
    <mergeCell ref="G536:G538"/>
    <mergeCell ref="E524:F524"/>
    <mergeCell ref="B551:C551"/>
    <mergeCell ref="D542:D544"/>
    <mergeCell ref="E542:F544"/>
    <mergeCell ref="G542:G544"/>
    <mergeCell ref="A543:C543"/>
    <mergeCell ref="B544:C544"/>
    <mergeCell ref="A549:C549"/>
    <mergeCell ref="E549:F549"/>
    <mergeCell ref="B550:C550"/>
    <mergeCell ref="D545:D547"/>
    <mergeCell ref="E545:F547"/>
    <mergeCell ref="G545:G547"/>
    <mergeCell ref="A546:C546"/>
    <mergeCell ref="B547:C547"/>
    <mergeCell ref="E533:F535"/>
    <mergeCell ref="G533:G535"/>
    <mergeCell ref="A525:G525"/>
    <mergeCell ref="A526:C526"/>
    <mergeCell ref="E526:F526"/>
    <mergeCell ref="D527:D529"/>
    <mergeCell ref="E527:F529"/>
    <mergeCell ref="G527:G529"/>
    <mergeCell ref="A528:C528"/>
    <mergeCell ref="B529:C529"/>
    <mergeCell ref="D530:D532"/>
    <mergeCell ref="E530:F532"/>
    <mergeCell ref="G530:G532"/>
    <mergeCell ref="A531:C531"/>
    <mergeCell ref="B532:C532"/>
    <mergeCell ref="A534:C534"/>
    <mergeCell ref="B535:C535"/>
    <mergeCell ref="G421:G424"/>
    <mergeCell ref="A422:C422"/>
    <mergeCell ref="B423:C423"/>
    <mergeCell ref="A424:C424"/>
    <mergeCell ref="A362:C362"/>
    <mergeCell ref="D359:D362"/>
    <mergeCell ref="E359:F362"/>
    <mergeCell ref="A360:C360"/>
    <mergeCell ref="B420:C420"/>
    <mergeCell ref="D416:D420"/>
    <mergeCell ref="E416:F420"/>
    <mergeCell ref="G416:G420"/>
    <mergeCell ref="A417:C417"/>
    <mergeCell ref="B418:C418"/>
    <mergeCell ref="A419:C419"/>
    <mergeCell ref="D408:D411"/>
    <mergeCell ref="G408:G411"/>
    <mergeCell ref="A409:C409"/>
    <mergeCell ref="A410:C410"/>
    <mergeCell ref="B411:C411"/>
    <mergeCell ref="D404:D407"/>
    <mergeCell ref="E404:F407"/>
    <mergeCell ref="D383:D387"/>
    <mergeCell ref="E383:F387"/>
    <mergeCell ref="E408:F411"/>
    <mergeCell ref="B390:C390"/>
    <mergeCell ref="B387:C387"/>
    <mergeCell ref="A401:C401"/>
    <mergeCell ref="B402:C402"/>
    <mergeCell ref="A403:C403"/>
    <mergeCell ref="A391:C391"/>
    <mergeCell ref="D388:D391"/>
    <mergeCell ref="D421:D424"/>
    <mergeCell ref="E421:F424"/>
    <mergeCell ref="B399:C399"/>
    <mergeCell ref="B370:C370"/>
    <mergeCell ref="D371:D374"/>
    <mergeCell ref="A355:C355"/>
    <mergeCell ref="D363:D366"/>
    <mergeCell ref="E363:F366"/>
    <mergeCell ref="B377:C377"/>
    <mergeCell ref="A378:C378"/>
    <mergeCell ref="G455:G459"/>
    <mergeCell ref="A456:C456"/>
    <mergeCell ref="B458:C458"/>
    <mergeCell ref="A459:C459"/>
    <mergeCell ref="G359:G362"/>
    <mergeCell ref="A368:C368"/>
    <mergeCell ref="A369:C369"/>
    <mergeCell ref="E371:F374"/>
    <mergeCell ref="G371:G374"/>
    <mergeCell ref="A372:C372"/>
    <mergeCell ref="A373:C373"/>
    <mergeCell ref="B374:C374"/>
    <mergeCell ref="E429:F433"/>
    <mergeCell ref="B453:C453"/>
    <mergeCell ref="A454:C454"/>
    <mergeCell ref="D451:D454"/>
    <mergeCell ref="E451:F454"/>
    <mergeCell ref="A144:C144"/>
    <mergeCell ref="A145:C145"/>
    <mergeCell ref="B146:C146"/>
    <mergeCell ref="B147:C147"/>
    <mergeCell ref="B361:C361"/>
    <mergeCell ref="A240:C240"/>
    <mergeCell ref="B241:C241"/>
    <mergeCell ref="B242:C242"/>
    <mergeCell ref="A243:C243"/>
    <mergeCell ref="B299:C299"/>
    <mergeCell ref="A300:C300"/>
    <mergeCell ref="B318:C318"/>
    <mergeCell ref="A224:C224"/>
    <mergeCell ref="A309:C309"/>
    <mergeCell ref="B317:C317"/>
    <mergeCell ref="B322:C322"/>
    <mergeCell ref="A192:C192"/>
    <mergeCell ref="B196:C196"/>
    <mergeCell ref="B236:C236"/>
    <mergeCell ref="B237:C237"/>
    <mergeCell ref="B238:C238"/>
    <mergeCell ref="A272:C272"/>
    <mergeCell ref="A150:C150"/>
    <mergeCell ref="A151:C151"/>
    <mergeCell ref="G191:G197"/>
    <mergeCell ref="G218:G222"/>
    <mergeCell ref="E455:F459"/>
    <mergeCell ref="D313:D318"/>
    <mergeCell ref="E313:F318"/>
    <mergeCell ref="E198:F202"/>
    <mergeCell ref="G198:G202"/>
    <mergeCell ref="A199:C199"/>
    <mergeCell ref="B200:C200"/>
    <mergeCell ref="B201:C201"/>
    <mergeCell ref="A202:C202"/>
    <mergeCell ref="D303:D307"/>
    <mergeCell ref="G319:G323"/>
    <mergeCell ref="A320:C320"/>
    <mergeCell ref="B321:C321"/>
    <mergeCell ref="A323:C323"/>
    <mergeCell ref="B312:C312"/>
    <mergeCell ref="B220:C220"/>
    <mergeCell ref="A221:C221"/>
    <mergeCell ref="B222:C222"/>
    <mergeCell ref="A311:C311"/>
    <mergeCell ref="B228:C228"/>
    <mergeCell ref="G303:G307"/>
    <mergeCell ref="A306:C306"/>
    <mergeCell ref="D213:D217"/>
    <mergeCell ref="E213:F217"/>
    <mergeCell ref="G213:G217"/>
    <mergeCell ref="A214:C214"/>
    <mergeCell ref="B216:C216"/>
    <mergeCell ref="A195:C195"/>
    <mergeCell ref="A286:C286"/>
    <mergeCell ref="A287:C287"/>
    <mergeCell ref="B288:C288"/>
    <mergeCell ref="D285:D288"/>
    <mergeCell ref="E285:F288"/>
    <mergeCell ref="E277:F280"/>
    <mergeCell ref="D277:D280"/>
    <mergeCell ref="A278:C278"/>
    <mergeCell ref="A279:C279"/>
    <mergeCell ref="D281:D284"/>
    <mergeCell ref="E281:F284"/>
    <mergeCell ref="E218:F222"/>
    <mergeCell ref="D198:D202"/>
    <mergeCell ref="B248:C248"/>
    <mergeCell ref="D269:D272"/>
    <mergeCell ref="E239:F245"/>
    <mergeCell ref="B234:C234"/>
    <mergeCell ref="A235:C235"/>
    <mergeCell ref="D230:D238"/>
    <mergeCell ref="E230:F238"/>
    <mergeCell ref="B244:C244"/>
    <mergeCell ref="D251:D255"/>
    <mergeCell ref="A247:C247"/>
    <mergeCell ref="E259:F259"/>
    <mergeCell ref="D246:D250"/>
    <mergeCell ref="E246:F250"/>
    <mergeCell ref="B245:C245"/>
    <mergeCell ref="B132:C132"/>
    <mergeCell ref="D127:D132"/>
    <mergeCell ref="E127:F132"/>
    <mergeCell ref="G127:G132"/>
    <mergeCell ref="G138:G142"/>
    <mergeCell ref="E138:F142"/>
    <mergeCell ref="G230:G238"/>
    <mergeCell ref="D169:D174"/>
    <mergeCell ref="E169:F174"/>
    <mergeCell ref="D203:D207"/>
    <mergeCell ref="G169:G174"/>
    <mergeCell ref="D175:D181"/>
    <mergeCell ref="E175:F181"/>
    <mergeCell ref="G175:G181"/>
    <mergeCell ref="G182:G190"/>
    <mergeCell ref="G162:G168"/>
    <mergeCell ref="D182:D190"/>
    <mergeCell ref="B189:C189"/>
    <mergeCell ref="B190:C190"/>
    <mergeCell ref="E203:F207"/>
    <mergeCell ref="D191:D197"/>
    <mergeCell ref="E191:F197"/>
    <mergeCell ref="E182:F190"/>
    <mergeCell ref="A217:C217"/>
    <mergeCell ref="E468:F471"/>
    <mergeCell ref="E472:F475"/>
    <mergeCell ref="D476:D479"/>
    <mergeCell ref="A477:C477"/>
    <mergeCell ref="B478:C478"/>
    <mergeCell ref="A479:C479"/>
    <mergeCell ref="D480:D483"/>
    <mergeCell ref="A481:C481"/>
    <mergeCell ref="B482:C482"/>
    <mergeCell ref="A483:C483"/>
    <mergeCell ref="E476:F479"/>
    <mergeCell ref="E480:F483"/>
    <mergeCell ref="D488:D491"/>
    <mergeCell ref="A489:C489"/>
    <mergeCell ref="B490:C490"/>
    <mergeCell ref="A491:C491"/>
    <mergeCell ref="E484:F487"/>
    <mergeCell ref="E488:F491"/>
    <mergeCell ref="D492:D495"/>
    <mergeCell ref="A493:C493"/>
    <mergeCell ref="B494:C494"/>
    <mergeCell ref="A495:C495"/>
    <mergeCell ref="D496:D499"/>
    <mergeCell ref="A497:C497"/>
    <mergeCell ref="B498:C498"/>
    <mergeCell ref="A499:C499"/>
    <mergeCell ref="E492:F495"/>
    <mergeCell ref="E496:F499"/>
    <mergeCell ref="D500:D503"/>
    <mergeCell ref="A501:C501"/>
    <mergeCell ref="B502:C502"/>
    <mergeCell ref="A503:C503"/>
    <mergeCell ref="D504:D507"/>
    <mergeCell ref="A505:C505"/>
    <mergeCell ref="B506:C506"/>
    <mergeCell ref="A507:C507"/>
    <mergeCell ref="E500:F503"/>
    <mergeCell ref="E504:F507"/>
    <mergeCell ref="D516:D519"/>
    <mergeCell ref="A517:C517"/>
    <mergeCell ref="B518:C518"/>
    <mergeCell ref="A519:C519"/>
    <mergeCell ref="E516:F519"/>
    <mergeCell ref="D508:D511"/>
    <mergeCell ref="A509:C509"/>
    <mergeCell ref="B510:C510"/>
    <mergeCell ref="A511:C511"/>
    <mergeCell ref="D512:D515"/>
    <mergeCell ref="A513:C513"/>
    <mergeCell ref="B514:C514"/>
    <mergeCell ref="A515:C515"/>
    <mergeCell ref="E508:F511"/>
    <mergeCell ref="E512:F515"/>
    <mergeCell ref="G504:G507"/>
    <mergeCell ref="G508:G511"/>
    <mergeCell ref="G512:G515"/>
    <mergeCell ref="G516:G519"/>
    <mergeCell ref="G468:G471"/>
    <mergeCell ref="G472:G475"/>
    <mergeCell ref="G476:G479"/>
    <mergeCell ref="G480:G483"/>
    <mergeCell ref="G484:G487"/>
    <mergeCell ref="G488:G491"/>
    <mergeCell ref="G492:G495"/>
    <mergeCell ref="G496:G499"/>
    <mergeCell ref="G500:G503"/>
    <mergeCell ref="B152:C152"/>
    <mergeCell ref="B153:C153"/>
    <mergeCell ref="B154:C154"/>
    <mergeCell ref="B155:C155"/>
    <mergeCell ref="D149:D155"/>
    <mergeCell ref="E149:F155"/>
    <mergeCell ref="G149:G155"/>
    <mergeCell ref="D367:D370"/>
    <mergeCell ref="E367:F370"/>
    <mergeCell ref="G367:G370"/>
    <mergeCell ref="E162:F168"/>
    <mergeCell ref="D162:D168"/>
    <mergeCell ref="A183:C183"/>
    <mergeCell ref="B197:C197"/>
    <mergeCell ref="B193:C193"/>
    <mergeCell ref="B194:C194"/>
    <mergeCell ref="B167:C167"/>
    <mergeCell ref="B168:C168"/>
    <mergeCell ref="E273:F276"/>
    <mergeCell ref="B280:C280"/>
    <mergeCell ref="A349:C349"/>
    <mergeCell ref="B225:C225"/>
    <mergeCell ref="E303:F307"/>
    <mergeCell ref="A304:C304"/>
    <mergeCell ref="G281:G284"/>
    <mergeCell ref="A282:C282"/>
    <mergeCell ref="A283:C283"/>
    <mergeCell ref="B284:C284"/>
    <mergeCell ref="D324:D327"/>
    <mergeCell ref="E324:F327"/>
    <mergeCell ref="G324:G327"/>
    <mergeCell ref="A325:C325"/>
    <mergeCell ref="B326:C326"/>
    <mergeCell ref="A327:C327"/>
    <mergeCell ref="B301:C301"/>
    <mergeCell ref="G296:G302"/>
    <mergeCell ref="A297:C297"/>
    <mergeCell ref="B302:C302"/>
    <mergeCell ref="B307:C307"/>
    <mergeCell ref="D319:D323"/>
    <mergeCell ref="E319:F323"/>
    <mergeCell ref="G289:G295"/>
    <mergeCell ref="A290:C290"/>
    <mergeCell ref="B291:C291"/>
    <mergeCell ref="B292:C292"/>
    <mergeCell ref="A293:C293"/>
    <mergeCell ref="B294:C294"/>
    <mergeCell ref="B295:C295"/>
    <mergeCell ref="G12:G16"/>
    <mergeCell ref="A13:C13"/>
    <mergeCell ref="A14:C14"/>
    <mergeCell ref="B15:C15"/>
    <mergeCell ref="B16:C16"/>
    <mergeCell ref="A19:C19"/>
    <mergeCell ref="D17:D21"/>
    <mergeCell ref="E17:F21"/>
    <mergeCell ref="G17:G21"/>
    <mergeCell ref="A18:C18"/>
    <mergeCell ref="B20:C20"/>
    <mergeCell ref="B21:C21"/>
    <mergeCell ref="G22:G26"/>
    <mergeCell ref="A23:C23"/>
    <mergeCell ref="A24:C24"/>
    <mergeCell ref="B25:C25"/>
    <mergeCell ref="B26:C26"/>
    <mergeCell ref="D27:D31"/>
    <mergeCell ref="E27:F31"/>
    <mergeCell ref="G27:G31"/>
    <mergeCell ref="A28:C28"/>
    <mergeCell ref="A29:C29"/>
    <mergeCell ref="B30:C30"/>
    <mergeCell ref="B31:C31"/>
    <mergeCell ref="B148:C148"/>
    <mergeCell ref="D143:D148"/>
    <mergeCell ref="E143:F148"/>
    <mergeCell ref="G143:G148"/>
    <mergeCell ref="D32:D36"/>
    <mergeCell ref="E32:F36"/>
    <mergeCell ref="G32:G36"/>
    <mergeCell ref="A33:C33"/>
    <mergeCell ref="A34:C34"/>
    <mergeCell ref="B35:C35"/>
    <mergeCell ref="B36:C36"/>
    <mergeCell ref="G47:G51"/>
    <mergeCell ref="A48:C48"/>
    <mergeCell ref="A49:C49"/>
    <mergeCell ref="B50:C50"/>
    <mergeCell ref="B51:C51"/>
    <mergeCell ref="D138:D142"/>
    <mergeCell ref="A139:C139"/>
    <mergeCell ref="A140:C140"/>
    <mergeCell ref="B141:C141"/>
    <mergeCell ref="B142:C142"/>
    <mergeCell ref="A134:C134"/>
    <mergeCell ref="A135:C135"/>
    <mergeCell ref="B136:C136"/>
    <mergeCell ref="G379:G382"/>
    <mergeCell ref="A380:C380"/>
    <mergeCell ref="B381:C381"/>
    <mergeCell ref="A382:C382"/>
    <mergeCell ref="D379:D382"/>
    <mergeCell ref="E379:F382"/>
    <mergeCell ref="A397:C397"/>
    <mergeCell ref="A398:C398"/>
    <mergeCell ref="D396:D399"/>
  </mergeCells>
  <pageMargins left="0" right="0" top="7.874015748031496E-2" bottom="0.39370078740157483" header="0.31496062992125984" footer="0.31496062992125984"/>
  <pageSetup paperSize="9" scale="51" orientation="landscape" r:id="rId1"/>
  <headerFooter>
    <oddFooter>Strona &amp;P z &amp;N</oddFooter>
  </headerFooter>
  <rowBreaks count="8" manualBreakCount="8">
    <brk id="69" max="22" man="1"/>
    <brk id="102" max="22" man="1"/>
    <brk id="137" max="22" man="1"/>
    <brk id="229" max="22" man="1"/>
    <brk id="255" max="22" man="1"/>
    <brk id="284" max="22" man="1"/>
    <brk id="407" max="22" man="1"/>
    <brk id="438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listopad autopopr</vt:lpstr>
      <vt:lpstr>'listopad autopopr'!Obszar_wydruku</vt:lpstr>
      <vt:lpstr>'listopad autopopr'!Tytuły_wydruku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m.tomaka</dc:creator>
  <cp:lastModifiedBy>e.foremny</cp:lastModifiedBy>
  <cp:lastPrinted>2012-11-12T12:43:50Z</cp:lastPrinted>
  <dcterms:created xsi:type="dcterms:W3CDTF">2010-11-22T13:13:19Z</dcterms:created>
  <dcterms:modified xsi:type="dcterms:W3CDTF">2012-11-12T12:58:42Z</dcterms:modified>
</cp:coreProperties>
</file>